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4.xml" ContentType="application/vnd.openxmlformats-officedocument.spreadsheetml.worksheet+xml"/>
  <Override PartName="/xl/worksheets/sheet2.xml" ContentType="application/vnd.openxmlformats-officedocument.spreadsheetml.worksheet+xml"/>
  <Override PartName="/xl/worksheets/sheet15.xml" ContentType="application/vnd.openxmlformats-officedocument.spreadsheetml.worksheet+xml"/>
  <Override PartName="/xl/worksheets/sheet3.xml" ContentType="application/vnd.openxmlformats-officedocument.spreadsheetml.worksheet+xml"/>
  <Override PartName="/xl/worksheets/sheet17.xml" ContentType="application/vnd.openxmlformats-officedocument.spreadsheetml.worksheet+xml"/>
  <Override PartName="/xl/worksheets/sheet12.xml" ContentType="application/vnd.openxmlformats-officedocument.spreadsheetml.worksheet+xml"/>
  <Override PartName="/xl/worksheets/sheet18.xml" ContentType="application/vnd.openxmlformats-officedocument.spreadsheetml.worksheet+xml"/>
  <Override PartName="/xl/worksheets/sheet6.xml" ContentType="application/vnd.openxmlformats-officedocument.spreadsheetml.worksheet+xml"/>
  <Override PartName="/xl/worksheets/sheet1.xml" ContentType="application/vnd.openxmlformats-officedocument.spreadsheetml.worksheet+xml"/>
  <Override PartName="/xl/worksheets/sheet11.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10.xml" ContentType="application/vnd.openxmlformats-officedocument.spreadsheetml.worksheet+xml"/>
  <Override PartName="/xl/worksheets/sheet16.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comments9.xml" ContentType="application/vnd.openxmlformats-officedocument.spreadsheetml.comments+xml"/>
  <Override PartName="/xl/theme/theme1.xml" ContentType="application/vnd.openxmlformats-officedocument.theme+xml"/>
  <Override PartName="/xl/drawings/vmlDrawing1.vml" ContentType="application/vnd.openxmlformats-officedocument.vmlDrawing"/>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ME" sheetId="1" state="visible" r:id="rId3"/>
    <sheet name="Glossary" sheetId="2" state="visible" r:id="rId4"/>
    <sheet name="Scenarios" sheetId="3" state="visible" r:id="rId5"/>
    <sheet name="Scenario_Pilot" sheetId="4" state="visible" r:id="rId6"/>
    <sheet name="Scenario_FullBuild" sheetId="5" state="visible" r:id="rId7"/>
    <sheet name="Scenario_FullBuildFinanced" sheetId="6" state="visible" r:id="rId8"/>
    <sheet name="ChangeHistory" sheetId="7" state="visible" r:id="rId9"/>
    <sheet name="Inputs" sheetId="8" state="visible" r:id="rId10"/>
    <sheet name="Class_NVIDIA_Datacenter" sheetId="9" state="visible" r:id="rId11"/>
    <sheet name="ServiceLines" sheetId="10" state="visible" r:id="rId12"/>
    <sheet name="FleetSweep" sheetId="11" state="visible" r:id="rId13"/>
    <sheet name="LaunchRamp" sheetId="12" state="visible" r:id="rId14"/>
    <sheet name="CoolingCases" sheetId="13" state="visible" r:id="rId15"/>
    <sheet name="Financing" sheetId="14" state="visible" r:id="rId16"/>
    <sheet name="LaunchYearMonthly" sheetId="15" state="visible" r:id="rId17"/>
    <sheet name="PowerScenarios" sheetId="16" state="visible" r:id="rId18"/>
    <sheet name="Unknowns" sheetId="17" state="visible" r:id="rId19"/>
    <sheet name="Sources" sheetId="18" state="visible" r:id="rId20"/>
  </sheets>
  <calcPr iterateCount="100" refMode="A1" iterate="false" iterateDelta="0.0001"/>
  <extLst>
    <ext xmlns:loext="http://schemas.libreoffice.org/" uri="{7626C862-2A13-11E5-B345-FEFF819CDC9F}">
      <loext:extCalcPr stringRefSyntax="ExcelA1"/>
    </ext>
  </extLst>
</workbook>
</file>

<file path=xl/comments9.xml><?xml version="1.0" encoding="utf-8"?>
<comments xmlns="http://schemas.openxmlformats.org/spreadsheetml/2006/main" xmlns:xdr="http://schemas.openxmlformats.org/drawingml/2006/spreadsheetDrawing">
  <authors>
    <author>Model</author>
  </authors>
  <commentList>
    <comment ref="K7" authorId="0">
      <text>
        <r>
          <rPr>
            <sz val="10"/>
            <rFont val="Arial"/>
            <family val="2"/>
          </rPr>
          <t xml:space="preserve">Liquid-cooled 8x H100 server about 9.2 kW nameplate (air-cooled DGX H100 10.2 kW less 10-15% fan power; arXiv 2507.16781 measured 6.99 vs 8.16 kW, Supermicro 6.3 vs 7.0 kW). 9,200 - 8 x 700 = 3,600 W. [INFER] mid.</t>
        </r>
      </text>
    </comment>
    <comment ref="K8" authorId="0">
      <text>
        <r>
          <rPr>
            <sz val="10"/>
            <rFont val="Arial"/>
            <family val="2"/>
          </rPr>
          <t xml:space="preserve">Same chassis class as H100: 9.2 kW nameplate liquid-cooled [INFER].</t>
        </r>
      </text>
    </comment>
    <comment ref="K9" authorId="0">
      <text>
        <r>
          <rPr>
            <sz val="10"/>
            <rFont val="Arial"/>
            <family val="2"/>
          </rPr>
          <t xml:space="preserve">Supermicro B200 liquid-cooled server: 4 x 6.6 kW PSUs in 2+2, 13.2 kW usable. 13,200 - 8 x 1,000 = 5,200 W. [INFER]</t>
        </r>
      </text>
    </comment>
  </commentList>
</comments>
</file>

<file path=xl/sharedStrings.xml><?xml version="1.0" encoding="utf-8"?>
<sst xmlns="http://schemas.openxmlformats.org/spreadsheetml/2006/main" count="1888" uniqueCount="1439">
  <si>
    <t xml:space="preserve">USED NVIDIA DATACENTER GPU, LIQUID COOLED: COMPUTE MODEL</t>
  </si>
  <si>
    <t xml:space="preserve">Derived 2026-09-18 from gpu_capacity_model_v76.xlsx (Tom Law, 2026-08-18). One deployment path, compute only.</t>
  </si>
  <si>
    <t xml:space="preserve">START HERE</t>
  </si>
  <si>
    <t xml:space="preserve">  Class_NVIDIA_Datacenter   hardware, purchases, revenue, opex, six-year cash flow. The model.</t>
  </si>
  <si>
    <t xml:space="preserve">  Inputs                    shared assumptions. Blue cells on yellow are inputs; everything else is computed.</t>
  </si>
  <si>
    <t xml:space="preserve">  The building, electrical service, backup power and cooling plant are a separate sub-project with its own</t>
  </si>
  <si>
    <t xml:space="preserve">  workbook and memo: FacilityUpgrades/FacilityUpgradesModel.xlsx. This model pays for them through the facility</t>
  </si>
  <si>
    <t xml:space="preserve">  charge per kW per year (Inputs B36), which that workbook computes.</t>
  </si>
  <si>
    <t xml:space="preserve">WHAT CHANGED FROM v76</t>
  </si>
  <si>
    <t xml:space="preserve">  1. One path only. The consumer GPU, Apple, FPGA and AMD sheets, ClassComparison and UseCases are removed.</t>
  </si>
  <si>
    <t xml:space="preserve">  2. Server power counts the host (column K on the class sheet). v76 counted GPU watts only (5.6 kW per server).</t>
  </si>
  <si>
    <t xml:space="preserve">  3. Direct-to-chip liquid cooling: 9.2 kW per 8-GPU server at nameplate (10.2 air), a cold-plate retrofit at $8,000 per</t>
  </si>
  <si>
    <t xml:space="preserve">     server (class sheet B20), measured draw at 76% of nameplate for energy (B44), PUE 1.16 (Inputs B35).</t>
  </si>
  <si>
    <t xml:space="preserve">  4. Next-gen GPU corrected from 750 W to 1,000 W (B200). No next-gen units are in the purchase plan.</t>
  </si>
  <si>
    <t xml:space="preserve">  5. Facility cost per kW per year is now a facility charge set from the FacilityUpgrades workbook ($378 if that</t>
  </si>
  <si>
    <t xml:space="preserve">     sub-project is grant-funded; about $1,793 if its capex must be repaid at 6%).</t>
  </si>
  <si>
    <t xml:space="preserve">KNOWN ISSUES, NOT FIXED HERE</t>
  </si>
  <si>
    <t xml:space="preserve">  Electricity stays at v76's manual $0.22/kWh. A site-specific tariff would change the result materially.</t>
  </si>
  <si>
    <t xml:space="preserve">  Glossary, Unknowns and Sources are v76's and still describe all five classes.</t>
  </si>
  <si>
    <t xml:space="preserve">HOW TO READ THE NUMBERS</t>
  </si>
  <si>
    <t xml:space="preserve">  Profit        six-year revenue less six-year full cost, where full cost is opex plus licensing plus capital.</t>
  </si>
  <si>
    <t xml:space="preserve">  Breakeven     total cost divided by available capacity. A cost-recovery threshold, not a price.</t>
  </si>
  <si>
    <t xml:space="preserve">  Unit          one machine or host. Module   one GPU.</t>
  </si>
  <si>
    <t xml:space="preserve">WHAT THIS MODEL DOES NOT DO</t>
  </si>
  <si>
    <t xml:space="preserve">  It prices capacity. It does not contain a customer. Read Unknowns before committing capital.</t>
  </si>
  <si>
    <t xml:space="preserve">SERVICES-V1 (2026-09-18)</t>
  </si>
  <si>
    <t xml:space="preserve">  Inputs B42: provenance premium, 15%, on all revenue. B43: 30% of GPU capacity sold as inference seats instead of rental.</t>
  </si>
  <si>
    <t xml:space="preserve">  Inputs B44-B46: grant share of facility capex (default 100%); the facility charge blends grant-funded $378 and financed (20 years at 7.5%) $1,945 per kW-yr.</t>
  </si>
  <si>
    <t xml:space="preserve">  ServiceLines: inference seats, agent hosting on CPU servers, RAG projects and retainers. Yellow cells are estimates.</t>
  </si>
  <si>
    <t xml:space="preserve">  FleetSweep: results at 4-16 servers under both facility cases (values from a scripted re-run).</t>
  </si>
  <si>
    <t xml:space="preserve">GLOSSARY</t>
  </si>
  <si>
    <t xml:space="preserve">Every abbreviation used anywhere in this workbook or the companion documents.</t>
  </si>
  <si>
    <t xml:space="preserve">MODEL TERMS</t>
  </si>
  <si>
    <t xml:space="preserve">Term</t>
  </si>
  <si>
    <t xml:space="preserve">Stands for</t>
  </si>
  <si>
    <t xml:space="preserve">What it means here</t>
  </si>
  <si>
    <t xml:space="preserve">PUE</t>
  </si>
  <si>
    <t xml:space="preserve">Power Usage Effectiveness</t>
  </si>
  <si>
    <t xml:space="preserve">Total power at the meter divided by power reaching the computers. At 1.35, every kilowatt of compute pulls 1.35 at the meter; the extra goes to cooling, power conversion losses and lighting.</t>
  </si>
  <si>
    <t xml:space="preserve">Duty factor</t>
  </si>
  <si>
    <t xml:space="preserve">(no abbreviation)</t>
  </si>
  <si>
    <t xml:space="preserve">Average power draw as a share of peak, across a year. A property of the workload, not of the contract. Unmeasured in this model.</t>
  </si>
  <si>
    <t xml:space="preserve">Capacity factor</t>
  </si>
  <si>
    <t xml:space="preserve">For solar: annual generation divided by what the array would produce running flat out. Maine is around 14.5 percent.</t>
  </si>
  <si>
    <t xml:space="preserve">LCOE</t>
  </si>
  <si>
    <t xml:space="preserve">Levelised Cost Of Energy</t>
  </si>
  <si>
    <t xml:space="preserve">Total lifetime cost of a generation asset divided by total lifetime output, giving a cost per kilowatt-hour comparable to a utility rate.</t>
  </si>
  <si>
    <t xml:space="preserve">FTE</t>
  </si>
  <si>
    <t xml:space="preserve">Full-Time Equivalent</t>
  </si>
  <si>
    <t xml:space="preserve">One person working full time for a year. Used at 1,800 productive hours.</t>
  </si>
  <si>
    <t xml:space="preserve">Module</t>
  </si>
  <si>
    <t xml:space="preserve">One GPU, one card, one FPGA or one Mac. The thing rates are quoted per.</t>
  </si>
  <si>
    <t xml:space="preserve">Unit</t>
  </si>
  <si>
    <t xml:space="preserve">One machine or host: a chassis holding some number of modules. What gets bought, racked and contracted.</t>
  </si>
  <si>
    <t xml:space="preserve">Take-or-pay</t>
  </si>
  <si>
    <t xml:space="preserve">The customer pays for reserved capacity whether or not they use it. Transfers utilisation risk from us to them.</t>
  </si>
  <si>
    <t xml:space="preserve">Breakeven</t>
  </si>
  <si>
    <t xml:space="preserve">Total cost divided by available capacity. A cost-recovery threshold, not a price.</t>
  </si>
  <si>
    <t xml:space="preserve">Coverage ratio</t>
  </si>
  <si>
    <t xml:space="preserve">INVENTED FOR THIS MODEL. Six-year revenue divided by six-year full cost. It is NOT the finance term of the same name, which means debt service or interest coverage. Rename or read with care.</t>
  </si>
  <si>
    <t xml:space="preserve">NRE</t>
  </si>
  <si>
    <t xml:space="preserve">Non-Recurring Engineering</t>
  </si>
  <si>
    <t xml:space="preserve">One-off engineering to make something work, as distinct from ongoing operating cost. Normally billed to the customer.</t>
  </si>
  <si>
    <t xml:space="preserve">HARDWARE</t>
  </si>
  <si>
    <t xml:space="preserve">ECC</t>
  </si>
  <si>
    <t xml:space="preserve">Error-Correcting Code memory</t>
  </si>
  <si>
    <t xml:space="preserve">Memory that detects and corrects bit errors. Without it errors corrupt silently. Its absence is what disqualifies consumer GPUs and Apple Silicon from regulated work.</t>
  </si>
  <si>
    <t xml:space="preserve">HBM</t>
  </si>
  <si>
    <t xml:space="preserve">High Bandwidth Memory</t>
  </si>
  <si>
    <t xml:space="preserve">Stacked memory sitting next to the processor. Fast and expensive. H100 has 80GB at 3,350 GB/s.</t>
  </si>
  <si>
    <t xml:space="preserve">TDP</t>
  </si>
  <si>
    <t xml:space="preserve">Thermal Design Power</t>
  </si>
  <si>
    <t xml:space="preserve">Roughly the sustained power a chip draws under load, in watts.</t>
  </si>
  <si>
    <t xml:space="preserve">PCIe</t>
  </si>
  <si>
    <t xml:space="preserve">Peripheral Component Interconnect Express</t>
  </si>
  <si>
    <t xml:space="preserve">The standard slot format for accelerator cards in a server.</t>
  </si>
  <si>
    <t xml:space="preserve">SXM</t>
  </si>
  <si>
    <t xml:space="preserve">(NVIDIA form factor)</t>
  </si>
  <si>
    <t xml:space="preserve">NVIDIA socketed module format used in HGX systems. Higher power and bandwidth than PCIe cards, and carries no bundled NVAIE licence.</t>
  </si>
  <si>
    <t xml:space="preserve">NVL</t>
  </si>
  <si>
    <t xml:space="preserve">NVLink-paired card variant. Unlike SXM it does include a bundled NVAIE subscription.</t>
  </si>
  <si>
    <t xml:space="preserve">HGX</t>
  </si>
  <si>
    <t xml:space="preserve">(NVIDIA platform)</t>
  </si>
  <si>
    <t xml:space="preserve">NVIDIA baseboard platform holding eight SXM modules. The basis of the datacenter-grade unit here.</t>
  </si>
  <si>
    <t xml:space="preserve">MIG</t>
  </si>
  <si>
    <t xml:space="preserve">Multi-Instance GPU</t>
  </si>
  <si>
    <t xml:space="preserve">Hardware partitioning that splits one A100 or H100 into up to seven isolated instances. How you sell less than a whole GPU.</t>
  </si>
  <si>
    <t xml:space="preserve">OAM</t>
  </si>
  <si>
    <t xml:space="preserve">Open Accelerator Module</t>
  </si>
  <si>
    <t xml:space="preserve">Open standard socket format, used by Intel Gaudi among others.</t>
  </si>
  <si>
    <t xml:space="preserve">DDR / LPDDR</t>
  </si>
  <si>
    <t xml:space="preserve">Double Data Rate memory</t>
  </si>
  <si>
    <t xml:space="preserve">Conventional system memory. Cheaper and slower than HBM. Apple unified memory is LPDDR.</t>
  </si>
  <si>
    <t xml:space="preserve">BMC / IPMI</t>
  </si>
  <si>
    <t xml:space="preserve">Baseboard Management Controller / Intelligent Platform Management Interface</t>
  </si>
  <si>
    <t xml:space="preserve">Out-of-band server management: remote power cycling, reimaging, console access without the operating system running. Apple hardware has none, which is a real operational cost at scale.</t>
  </si>
  <si>
    <t xml:space="preserve">KVM</t>
  </si>
  <si>
    <t xml:space="preserve">Keyboard Video Mouse (remote console)</t>
  </si>
  <si>
    <t xml:space="preserve">Remote screen and input access to a machine. Part of what a BMC provides.</t>
  </si>
  <si>
    <t xml:space="preserve">RMA</t>
  </si>
  <si>
    <t xml:space="preserve">Return Merchandise Authorisation</t>
  </si>
  <si>
    <t xml:space="preserve">The vendor process for returning failed hardware under warranty.</t>
  </si>
  <si>
    <t xml:space="preserve">SOFTWARE AND LICENSING</t>
  </si>
  <si>
    <t xml:space="preserve">CUDA</t>
  </si>
  <si>
    <t xml:space="preserve">Compute Unified Device Architecture</t>
  </si>
  <si>
    <t xml:space="preserve">NVIDIA proprietary programming platform. The reason GPU customers can bring a container and have it just run.</t>
  </si>
  <si>
    <t xml:space="preserve">NVAIE</t>
  </si>
  <si>
    <t xml:space="preserve">NVIDIA AI Enterprise</t>
  </si>
  <si>
    <t xml:space="preserve">NVIDIA commercial software suite, licensed per GPU per year. Not required for bare-metal containers, Kubernetes or Slurm. Required for vGPU, NIM containers and SLA-backed vendor support.</t>
  </si>
  <si>
    <t xml:space="preserve">vGPU</t>
  </si>
  <si>
    <t xml:space="preserve">virtual GPU</t>
  </si>
  <si>
    <t xml:space="preserve">NVIDIA GPU virtualisation for full VM isolation per tenant. Requires an NVAIE licence.</t>
  </si>
  <si>
    <t xml:space="preserve">NIM</t>
  </si>
  <si>
    <t xml:space="preserve">NVIDIA Inference Microservices</t>
  </si>
  <si>
    <t xml:space="preserve">Prepackaged inference containers, gated behind NVAIE.</t>
  </si>
  <si>
    <t xml:space="preserve">DCGM</t>
  </si>
  <si>
    <t xml:space="preserve">Data Center GPU Manager</t>
  </si>
  <si>
    <t xml:space="preserve">NVIDIA free monitoring tool. Provides the ECC and thermal telemetry the reliability section recommends watching.</t>
  </si>
  <si>
    <t xml:space="preserve">MLX / Metal</t>
  </si>
  <si>
    <t xml:space="preserve">(Apple frameworks)</t>
  </si>
  <si>
    <t xml:space="preserve">Apple machine learning and graphics frameworks. The non-CUDA path on Apple Silicon.</t>
  </si>
  <si>
    <t xml:space="preserve">ANE</t>
  </si>
  <si>
    <t xml:space="preserve">Apple Neural Engine</t>
  </si>
  <si>
    <t xml:space="preserve">Dedicated matrix coprocessor on Apple Silicon, separate from the GPU cores.</t>
  </si>
  <si>
    <t xml:space="preserve">HDL / RTL</t>
  </si>
  <si>
    <t xml:space="preserve">Hardware Description Language / Register Transfer Level</t>
  </si>
  <si>
    <t xml:space="preserve">Languages such as Verilog and VHDL used to describe FPGA logic directly.</t>
  </si>
  <si>
    <t xml:space="preserve">HLS</t>
  </si>
  <si>
    <t xml:space="preserve">High Level Synthesis</t>
  </si>
  <si>
    <t xml:space="preserve">Compiling C or C++ into FPGA logic instead of writing HDL by hand. Lowers but does not remove the expertise barrier.</t>
  </si>
  <si>
    <t xml:space="preserve">Vitis / Vitis AI</t>
  </si>
  <si>
    <t xml:space="preserve">(AMD toolchain)</t>
  </si>
  <si>
    <t xml:space="preserve">AMD and Xilinx development environment for FPGA acceleration. Vitis AI is the neural-network path: quantise a model, compile it to a DPU overlay.</t>
  </si>
  <si>
    <t xml:space="preserve">DPU</t>
  </si>
  <si>
    <t xml:space="preserve">Deep Learning Processing Unit</t>
  </si>
  <si>
    <t xml:space="preserve">A prebuilt neural-network engine loaded onto an FPGA. Supported operators run on it; unsupported ones fall back to CPU or need custom kernels.</t>
  </si>
  <si>
    <t xml:space="preserve">XRT</t>
  </si>
  <si>
    <t xml:space="preserve">Xilinx Runtime</t>
  </si>
  <si>
    <t xml:space="preserve">Open-source runtime connecting host software to FPGA kernels.</t>
  </si>
  <si>
    <t xml:space="preserve">SLA</t>
  </si>
  <si>
    <t xml:space="preserve">Service Level Agreement</t>
  </si>
  <si>
    <t xml:space="preserve">Contractual uptime and response commitment. Carrying one is what forces 24/7 coverage and, sometimes, vendor support licensing.</t>
  </si>
  <si>
    <t xml:space="preserve">COMPLIANCE AND POLICY</t>
  </si>
  <si>
    <t xml:space="preserve">SOC 2</t>
  </si>
  <si>
    <t xml:space="preserve">Service Organization Control 2</t>
  </si>
  <si>
    <t xml:space="preserve">Audited security and availability report most enterprise and institutional buyers ask for. $20,000 to $60,000 in year one.</t>
  </si>
  <si>
    <t xml:space="preserve">HIPAA / BAA</t>
  </si>
  <si>
    <t xml:space="preserve">Health Insurance Portability and Accountability Act / Business Associate Agreement</t>
  </si>
  <si>
    <t xml:space="preserve">US health data rules and the contract a vendor signs to handle it.</t>
  </si>
  <si>
    <t xml:space="preserve">CJIS</t>
  </si>
  <si>
    <t xml:space="preserve">Criminal Justice Information Services</t>
  </si>
  <si>
    <t xml:space="preserve">FBI security policy for anything touching law enforcement data.</t>
  </si>
  <si>
    <t xml:space="preserve">FERPA</t>
  </si>
  <si>
    <t xml:space="preserve">Family Educational Rights and Privacy Act</t>
  </si>
  <si>
    <t xml:space="preserve">US student records privacy law.</t>
  </si>
  <si>
    <t xml:space="preserve">StateRAMP</t>
  </si>
  <si>
    <t xml:space="preserve">(state cloud authorisation program)</t>
  </si>
  <si>
    <t xml:space="preserve">State-government equivalent of FedRAMP for cloud vendors.</t>
  </si>
  <si>
    <t xml:space="preserve">NIST 800-171</t>
  </si>
  <si>
    <t xml:space="preserve">(federal standard)</t>
  </si>
  <si>
    <t xml:space="preserve">Security requirements for controlled unclassified information in non-federal systems.</t>
  </si>
  <si>
    <t xml:space="preserve">CLOUD Act</t>
  </si>
  <si>
    <t xml:space="preserve">Clarifying Lawful Overseas Use of Data Act, 2018</t>
  </si>
  <si>
    <t xml:space="preserve">Lets US law enforcement compel a US-incorporated provider to produce data regardless of where it physically sits. Why a US operator cannot sell sovereignty.</t>
  </si>
  <si>
    <t xml:space="preserve">REAP</t>
  </si>
  <si>
    <t xml:space="preserve">Rural Energy for America Program</t>
  </si>
  <si>
    <t xml:space="preserve">USDA grant and loan program for rural energy projects. Grant awards paused as of 31 March 2026.</t>
  </si>
  <si>
    <t xml:space="preserve">EAR</t>
  </si>
  <si>
    <t xml:space="preserve">Export Administration Regulations</t>
  </si>
  <si>
    <t xml:space="preserve">US export controls. H100 and H200 class accelerators are controlled advanced-computing items.</t>
  </si>
  <si>
    <t xml:space="preserve">DSCR</t>
  </si>
  <si>
    <t xml:space="preserve">Debt Service Coverage Ratio</t>
  </si>
  <si>
    <t xml:space="preserve">The finance term that "coverage ratio" normally means. NOT what this model computes under that name.</t>
  </si>
  <si>
    <t xml:space="preserve">SCENARIO SWITCH: WHICH PLAN THIS WHOLE WORKBOOK IS SHOWING</t>
  </si>
  <si>
    <t xml:space="preserve">Change the yellow cell in B4 and every sheet recalculates for that plan. These are live formulas: the model reads its purchase shape and facility terms from column B below.</t>
  </si>
  <si>
    <t xml:space="preserve">Scenario in force</t>
  </si>
  <si>
    <t xml:space="preserve">Full build</t>
  </si>
  <si>
    <t xml:space="preserve">Its column in the table</t>
  </si>
  <si>
    <t xml:space="preserve">Input</t>
  </si>
  <si>
    <t xml:space="preserve">In force</t>
  </si>
  <si>
    <t xml:space="preserve">Pilot</t>
  </si>
  <si>
    <t xml:space="preserve">Full build, facility financed</t>
  </si>
  <si>
    <t xml:space="preserve">Feeds</t>
  </si>
  <si>
    <t xml:space="preserve">H100 servers bought in year 0</t>
  </si>
  <si>
    <t xml:space="preserve">Class_NVIDIA_Datacenter!B47</t>
  </si>
  <si>
    <t xml:space="preserve">H100 servers bought in year 2</t>
  </si>
  <si>
    <t xml:space="preserve">Class_NVIDIA_Datacenter!D47</t>
  </si>
  <si>
    <t xml:space="preserve">H200 servers bought in year 2</t>
  </si>
  <si>
    <t xml:space="preserve">Class_NVIDIA_Datacenter!D48</t>
  </si>
  <si>
    <t xml:space="preserve">H200 servers bought in year 4</t>
  </si>
  <si>
    <t xml:space="preserve">Class_NVIDIA_Datacenter!F48</t>
  </si>
  <si>
    <t xml:space="preserve">Grant share of facility capex (0% to 100%)</t>
  </si>
  <si>
    <t xml:space="preserve">Inputs!B44</t>
  </si>
  <si>
    <t xml:space="preserve">Facility charge, fully grant-funded, $ per kW-yr</t>
  </si>
  <si>
    <t xml:space="preserve">Inputs!B45</t>
  </si>
  <si>
    <t xml:space="preserve">Facility charge, fully financed, $ per kW-yr</t>
  </si>
  <si>
    <t xml:space="preserve">Inputs!B46</t>
  </si>
  <si>
    <t xml:space="preserve">Facility design load, kW (the charge is billed on this)</t>
  </si>
  <si>
    <t xml:space="preserve">Inputs!B47</t>
  </si>
  <si>
    <t xml:space="preserve">Facility upgrades capex, $ (shown in the readout; not billed)</t>
  </si>
  <si>
    <t xml:space="preserve">readout only</t>
  </si>
  <si>
    <t xml:space="preserve">WHAT THE SCENARIO IN FORCE SHOWS</t>
  </si>
  <si>
    <t xml:space="preserve">Amount financed: the compute ask</t>
  </si>
  <si>
    <t xml:space="preserve">Facility upgrades capex (grant or loan, separate)</t>
  </si>
  <si>
    <t xml:space="preserve">Total capital needed</t>
  </si>
  <si>
    <t xml:space="preserve">Six-year revenue</t>
  </si>
  <si>
    <t xml:space="preserve">Revenue per $1 of operating and hardware cost</t>
  </si>
  <si>
    <t xml:space="preserve">Lowest year-end cash after loan payments</t>
  </si>
  <si>
    <t xml:space="preserve">Cash at the end of year 5</t>
  </si>
  <si>
    <t xml:space="preserve">Inference capacity used, year 5</t>
  </si>
  <si>
    <t xml:space="preserve">HOW TO USE IT</t>
  </si>
  <si>
    <t xml:space="preserve">Pick a scenario in B4. Or type your own values into a column (yellow cells) and pick that column.</t>
  </si>
  <si>
    <t xml:space="preserve">Yellow cells are inputs. Grey cells (rows 13-16) are copied from FacilityUpgradesModel.xlsx, sized to each column's fleet, by `make facility`. Do not type over them: the build checks them against the facility workbook.</t>
  </si>
  <si>
    <t xml:space="preserve">The grey cells are copies because a formula link between two workbooks breaks when the files move.</t>
  </si>
  <si>
    <t xml:space="preserve">The package is built from the Full build column. The build stops if B4 is left on another scenario.</t>
  </si>
  <si>
    <t xml:space="preserve">The Scenario_* sheets are printable summaries of these same three columns, and the build proves the switch reproduces each of them. FleetSweep, LaunchRamp, and CoolingCases name the cells each row changes, so any row can be reproduced here by typing its values into a column.</t>
  </si>
  <si>
    <t xml:space="preserve">PILOT: 8 GPUs AT LAUNCH, 16 BY YEAR 2</t>
  </si>
  <si>
    <t xml:space="preserve">The least capital that still runs a real service. One 8-GPU server at launch, a second in year 2 when the workload justifies it.</t>
  </si>
  <si>
    <t xml:space="preserve">A printable summary. To see this plan live, set the Scenarios sheet's switch (B4) to "Pilot". Values here are written by GrantPackage/scripts/scenarioSheets.py, which checks that the switch reproduces them.</t>
  </si>
  <si>
    <t xml:space="preserve">THE SHAPE</t>
  </si>
  <si>
    <t xml:space="preserve">GPUs in service</t>
  </si>
  <si>
    <t xml:space="preserve">Servers in service</t>
  </si>
  <si>
    <t xml:space="preserve">Peak IT load, kW</t>
  </si>
  <si>
    <t xml:space="preserve">AI assistant seats</t>
  </si>
  <si>
    <t xml:space="preserve">GPUs held for AI assistant seats</t>
  </si>
  <si>
    <t xml:space="preserve">WHAT IT COSTS TO START</t>
  </si>
  <si>
    <t xml:space="preserve">GPU and CPU hardware</t>
  </si>
  <si>
    <t xml:space="preserve">Working capital (launch-ramp need plus cushion)</t>
  </si>
  <si>
    <t xml:space="preserve">Facility upgrades, 18.4 kW (grant or loan, separate)</t>
  </si>
  <si>
    <t xml:space="preserve">TOTAL CAPITAL NEEDED</t>
  </si>
  <si>
    <t xml:space="preserve">Loan payment, 5 years at 8.5%</t>
  </si>
  <si>
    <t xml:space="preserve">WHAT IT RETURNS OVER SIX YEARS</t>
  </si>
  <si>
    <t xml:space="preserve">Total revenue</t>
  </si>
  <si>
    <t xml:space="preserve">NPV at 8.5%</t>
  </si>
  <si>
    <t xml:space="preserve">Cash at the end of year 5, loan repaid</t>
  </si>
  <si>
    <t xml:space="preserve">YEAR BY YEAR</t>
  </si>
  <si>
    <t xml:space="preserve">Year 0</t>
  </si>
  <si>
    <t xml:space="preserve">Year 1</t>
  </si>
  <si>
    <t xml:space="preserve">Year 2</t>
  </si>
  <si>
    <t xml:space="preserve">Year 3</t>
  </si>
  <si>
    <t xml:space="preserve">Year 4</t>
  </si>
  <si>
    <t xml:space="preserve">Year 5</t>
  </si>
  <si>
    <t xml:space="preserve">Six years</t>
  </si>
  <si>
    <t xml:space="preserve">Revenue</t>
  </si>
  <si>
    <t xml:space="preserve">Operating cost</t>
  </si>
  <si>
    <t xml:space="preserve">Hardware purchases</t>
  </si>
  <si>
    <t xml:space="preserve">Net cash before financing</t>
  </si>
  <si>
    <t xml:space="preserve">Loan proceeds</t>
  </si>
  <si>
    <t xml:space="preserve">Loan payments</t>
  </si>
  <si>
    <t xml:space="preserve">Cash at year end</t>
  </si>
  <si>
    <t xml:space="preserve">WHERE THE REVENUE COMES FROM</t>
  </si>
  <si>
    <t xml:space="preserve">GPU capacity (reserved and marketplace)</t>
  </si>
  <si>
    <t xml:space="preserve">Agent hosting</t>
  </si>
  <si>
    <t xml:space="preserve">Engineering services and retainers</t>
  </si>
  <si>
    <t xml:space="preserve">Total</t>
  </si>
  <si>
    <t xml:space="preserve">WHAT TO KNOW</t>
  </si>
  <si>
    <t xml:space="preserve">Sized honestly: the facility here is built for this fleet (18.4 kW), not the full build. That is what keeps the capital low, and it is also the catch — see below.</t>
  </si>
  <si>
    <t xml:space="preserve">THE CEILING. To serve the planned 3,500 seats, the pilot holds 10 of its 16 GPUs for inference by year 5, leaving 6 to rent. The seat plan fits; there is little capacity left to sell. Going further later means a second electrical project: another outage and a 40-to-65-week transformer.</t>
  </si>
  <si>
    <t xml:space="preserve">Best return per dollar of any size modelled, and the smallest absolute return.</t>
  </si>
  <si>
    <t xml:space="preserve">Electricity 0.125 $/kWh, PUE 1.16, facility charge $1,580 per kW a year. Inference capacity used in year 5: 67%. Seats served in year 5 3,500 against 3,500 planned.</t>
  </si>
  <si>
    <t xml:space="preserve">FULL BUILD: 64 GPUs AT LAUNCH, 96 BY YEAR 4</t>
  </si>
  <si>
    <t xml:space="preserve">The committed plan. Eight 8-GPU servers at launch, three more in year 2 and one in year 4, paid for out of operating cash flow.</t>
  </si>
  <si>
    <t xml:space="preserve">A printable summary. To see this plan live, set the Scenarios sheet's switch (B4) to "Full build". Values here are written by GrantPackage/scripts/scenarioSheets.py, which checks that the switch reproduces them.</t>
  </si>
  <si>
    <t xml:space="preserve">Facility upgrades, 110.4 kW (grant or loan, separate)</t>
  </si>
  <si>
    <t xml:space="preserve">Twelve servers at 110.4 kW is the largest fleet that fits the facility design. It is the most profitable size THAT FITS, and not the most profitable size: 16 servers returns a higher NPV, but needs a bigger transformer, generator and cooling plant, and that step cost is in nobody's figures.</t>
  </si>
  <si>
    <t xml:space="preserve">The GPUs held for AI assistant seats follow planned demand: 2 at launch, 10 by year 5, used at 67% of capacity then. The rest of the fleet is rented.</t>
  </si>
  <si>
    <t xml:space="preserve">Every figure on this sheet appears in the grant package and is checked against the model by scripts/checkConsistency.py.</t>
  </si>
  <si>
    <t xml:space="preserve">Electricity 0.125 $/kWh, PUE 1.16, facility charge $598 per kW a year. Inference capacity used in year 5: 67%. Seats served in year 5 3,500 against 3,500 planned.</t>
  </si>
  <si>
    <t xml:space="preserve">FULL BUILD, FACILITY FINANCED: 64 GPUs AT LAUNCH, 96 BY YEAR 4</t>
  </si>
  <si>
    <t xml:space="preserve">The full build with no facility grant: the building upgrades are repaid through a facility charge set by a 20-year loan, and the compute pays that charge.</t>
  </si>
  <si>
    <t xml:space="preserve">A printable summary. To see this plan live, set the Scenarios sheet's switch (B4) to "Full build, facility financed". Values here are written by GrantPackage/scripts/scenarioSheets.py, which checks that the switch reproduces them.</t>
  </si>
  <si>
    <t xml:space="preserve">This is the stored source of the "facility financed" column in the financial summary. The only input that differs from Scenario_FullBuild is the grant share of facility capex (Inputs B44), set to 0%.</t>
  </si>
  <si>
    <t xml:space="preserve">The facility charge per kW is several times the grant-funded one, so the ask rises and the lowest year-end cash falls. Read the two sheets side by side.</t>
  </si>
  <si>
    <t xml:space="preserve">Electricity 0.125 $/kWh, PUE 1.16, facility charge $2,541 per kW a year. Inference capacity used in year 5: 67%. Seats served in year 5 3,500 against 3,500 planned.</t>
  </si>
  <si>
    <t xml:space="preserve">CHANGE HISTORY</t>
  </si>
  <si>
    <t xml:space="preserve">Material changes to inputs, structure and results. Cosmetic edits omitted.</t>
  </si>
  <si>
    <t xml:space="preserve">Version</t>
  </si>
  <si>
    <t xml:space="preserve">Area</t>
  </si>
  <si>
    <t xml:space="preserve">What changed</t>
  </si>
  <si>
    <t xml:space="preserve">Effect</t>
  </si>
  <si>
    <t xml:space="preserve">v33-v41</t>
  </si>
  <si>
    <t xml:space="preserve">Structure</t>
  </si>
  <si>
    <t xml:space="preserve">Five parallel class sheets built from one code path, replacing two pro forma sheets. Business overhead centralised. Inputs sheet made the single source.</t>
  </si>
  <si>
    <t xml:space="preserve">All classes comparable at equal capital</t>
  </si>
  <si>
    <t xml:space="preserve">v42-v48</t>
  </si>
  <si>
    <t xml:space="preserve">Six-year model</t>
  </si>
  <si>
    <t xml:space="preserve">Generation tiering with recurring capex, per-generation returns, retirement trigger.</t>
  </si>
  <si>
    <t xml:space="preserve">Refresh cycle expressible for the first time</t>
  </si>
  <si>
    <t xml:space="preserve">v49-v52</t>
  </si>
  <si>
    <t xml:space="preserve">FPGA pricing</t>
  </si>
  <si>
    <t xml:space="preserve">Card prices replaced with AMD list and eBay listings. Invented 71% used discount corrected to a real 28%. Power corrected from 150W max to 115W typical. Rates repriced on published LLaMA throughput at batch 1.</t>
  </si>
  <si>
    <t xml:space="preserve">FPGA 67% to 19% to 59%, then settled at 67%</t>
  </si>
  <si>
    <t xml:space="preserve">v53</t>
  </si>
  <si>
    <t xml:space="preserve">Use cases</t>
  </si>
  <si>
    <t xml:space="preserve">Buyer table synced with the prospectus, evidence ratings added, stale ECC note fixed.</t>
  </si>
  <si>
    <t xml:space="preserve">No result change</t>
  </si>
  <si>
    <t xml:space="preserve">v54</t>
  </si>
  <si>
    <t xml:space="preserve">Licensing</t>
  </si>
  <si>
    <t xml:space="preserve">Corrected the claim that NVAIE gates ECC or compliance. It does not: ECC is hardware, compliance is our processes.</t>
  </si>
  <si>
    <t xml:space="preserve">Removed a false market-access argument</t>
  </si>
  <si>
    <t xml:space="preserve">v55-v57</t>
  </si>
  <si>
    <t xml:space="preserve">Unknowns</t>
  </si>
  <si>
    <t xml:space="preserve">Call list, migration idea, cooperative structures, MGHPCC governance failure flagged critical.</t>
  </si>
  <si>
    <t xml:space="preserve">74 items now tracked</t>
  </si>
  <si>
    <t xml:space="preserve">v58</t>
  </si>
  <si>
    <t xml:space="preserve">Maintenance hours</t>
  </si>
  <si>
    <t xml:space="preserve">Normalised per module. Apple was 3.00/module against 0.25 for consumer GPU, on the only sealed appliance in the set.</t>
  </si>
  <si>
    <t xml:space="preserve">Apple +$3.15M, consumer GPU flipped negative</t>
  </si>
  <si>
    <t xml:space="preserve">v59</t>
  </si>
  <si>
    <t xml:space="preserve">Apple rates</t>
  </si>
  <si>
    <t xml:space="preserve">Repriced against MacStadium published rates. Was $1,200/mo for a Mac Studio, roughly 3x market.</t>
  </si>
  <si>
    <t xml:space="preserve">Apple +$3.9M to -$488k</t>
  </si>
  <si>
    <t xml:space="preserve">v60</t>
  </si>
  <si>
    <t xml:space="preserve">Datacenter, consumer and AMD set to 2 hours per unit per month.</t>
  </si>
  <si>
    <t xml:space="preserve">Consumer GPU back to +6%, AMD to 37%</t>
  </si>
  <si>
    <t xml:space="preserve">v61</t>
  </si>
  <si>
    <t xml:space="preserve">AMD rates</t>
  </si>
  <si>
    <t xml:space="preserve">Repriced on RunPod listings and the Silicon Data MI300X index at $2.12/GPU-hr. Set 19% below the H100 rate per reporting that MI300X undercuts H100 by 10-30%.</t>
  </si>
  <si>
    <t xml:space="preserve">AMD +37% to -63%</t>
  </si>
  <si>
    <t xml:space="preserve">v62</t>
  </si>
  <si>
    <t xml:space="preserve">Capital check</t>
  </si>
  <si>
    <t xml:space="preserve">AMD was never wired into the envelope check and had been deploying $3.24M against a $2M envelope, 62% over.</t>
  </si>
  <si>
    <t xml:space="preserve">All five paths now verified in-envelope</t>
  </si>
  <si>
    <t xml:space="preserve">v63</t>
  </si>
  <si>
    <t xml:space="preserve">AMD hardware</t>
  </si>
  <si>
    <t xml:space="preserve">All three rows overpriced. MI300X corrected to $12,500 from $18,000, MI250X to $3,800 from $6,000, MI325X to $17,500 from $25,000. Memory corrected to 288GB.</t>
  </si>
  <si>
    <t xml:space="preserve">AMD -63% to -42%</t>
  </si>
  <si>
    <t xml:space="preserve">v64</t>
  </si>
  <si>
    <t xml:space="preserve">AMD mix</t>
  </si>
  <si>
    <t xml:space="preserve">Purchase mix moved to CDNA 2 parts where secondhand supply exists. MI300X zeroed: no used listings found.</t>
  </si>
  <si>
    <t xml:space="preserve">AMD -42% to -34%. Old parts fail on power, not price</t>
  </si>
  <si>
    <t xml:space="preserve">v65</t>
  </si>
  <si>
    <t xml:space="preserve">Power price flagged SEVERE as a gate on old hardware. MI300X availability recorded as demand absorbing supply.</t>
  </si>
  <si>
    <t xml:space="preserve">76 items</t>
  </si>
  <si>
    <t xml:space="preserve">v66</t>
  </si>
  <si>
    <t xml:space="preserve">NVIDIA licensing</t>
  </si>
  <si>
    <t xml:space="preserve">Turned OFF by default. Every other class carries unpriced tooling burden: FPGA bitstream bringup, AMD ROCm porting, Apple MLX. Charging NVIDIA $2.2M while others carried theirs at zero was not like-for-like.</t>
  </si>
  <si>
    <t xml:space="preserve">Datacenter -7% to positive</t>
  </si>
  <si>
    <t xml:space="preserve">v67</t>
  </si>
  <si>
    <t xml:space="preserve">Power scenarios</t>
  </si>
  <si>
    <t xml:space="preserve">Five-by-three grid added: each class at free, subsidised and market electricity.</t>
  </si>
  <si>
    <t xml:space="preserve">Showed three of five paths are power bets</t>
  </si>
  <si>
    <t xml:space="preserve">v68</t>
  </si>
  <si>
    <t xml:space="preserve">FORMULA BUG</t>
  </si>
  <si>
    <t xml:space="preserve">AMD profit used cumulative cash minus full cost while the other four used revenue minus full cost, deducting the cost base twice. Every AMD figure since the class was created was wrong.</t>
  </si>
  <si>
    <t xml:space="preserve">AMD -34% to +66%. Reversed the MI300X rejection</t>
  </si>
  <si>
    <t xml:space="preserve">Layout</t>
  </si>
  <si>
    <t xml:space="preserve">Power grid moved from the sheet bottom into the metrics block. Stray fill on the AMD header removed, which is what exposed the bug.</t>
  </si>
  <si>
    <t xml:space="preserve">Presentation</t>
  </si>
  <si>
    <t xml:space="preserve">v69</t>
  </si>
  <si>
    <t xml:space="preserve">Evidence quality</t>
  </si>
  <si>
    <t xml:space="preserve">AMD rental rates: only MI300X is sourced. MI250X rests on one provider, MI210 on one unverified site. Recorded with links.</t>
  </si>
  <si>
    <t xml:space="preserve">v70</t>
  </si>
  <si>
    <t xml:space="preserve">Naming</t>
  </si>
  <si>
    <t xml:space="preserve">Class_DatacenterGPU and Class_ConsumerGPU renamed to Class_NVIDIA_Datacenter and Class_NVIDIA_Consumer. All cross-sheet references updated.</t>
  </si>
  <si>
    <t xml:space="preserve">Removes ambiguity now that AMD is present</t>
  </si>
  <si>
    <t xml:space="preserve">All three generations restored with rates from posted listings rather than scaling. MI300X back in the purchase mix.</t>
  </si>
  <si>
    <t xml:space="preserve">AMD settles at 53%</t>
  </si>
  <si>
    <t xml:space="preserve">v71</t>
  </si>
  <si>
    <t xml:space="preserve">Scoping</t>
  </si>
  <si>
    <t xml:space="preserve">Metrics block labelled as being at the base rate; power block labelled as replacing that rate.</t>
  </si>
  <si>
    <t xml:space="preserve">Prevents the two blocks being read as independent</t>
  </si>
  <si>
    <t xml:space="preserve">v73</t>
  </si>
  <si>
    <t xml:space="preserve">Power wiring</t>
  </si>
  <si>
    <t xml:space="preserve">Scenario rates moved to Inputs Section E with a selector. Grid formulas and row labels now read those cells instead of hardcoded literals. PowerScenarios wired in both directions.</t>
  </si>
  <si>
    <t xml:space="preserve">One place to change a rate</t>
  </si>
  <si>
    <t xml:space="preserve">LCOE BUG</t>
  </si>
  <si>
    <t xml:space="preserve">Behind-the-meter array sizing divided by the labour rate instead of hours per year. LCOE was reading $8.71/kWh.</t>
  </si>
  <si>
    <t xml:space="preserve">Corrected to $0.0825/kWh</t>
  </si>
  <si>
    <t xml:space="preserve">v74</t>
  </si>
  <si>
    <t xml:space="preserve">Change history</t>
  </si>
  <si>
    <t xml:space="preserve">Entries for v67 through v74 added; the log had stopped at v66.</t>
  </si>
  <si>
    <t xml:space="preserve">Documentation</t>
  </si>
  <si>
    <t xml:space="preserve">liquid-v1</t>
  </si>
  <si>
    <t xml:space="preserve">Scope, cooling, power</t>
  </si>
  <si>
    <t xml:space="preserve">Single path (used NVIDIA datacenter), compute only. Direct-to-chip liquid cooling: host power column, 9.2 kW liquid-cooled servers, $8,000 cold-plate retrofit per server, 76% measured-peak factor on energy, PUE 1.25 to 1.16, next-gen GPU 750 to 1,000 W. Facility per-kW cost replaced by a facility charge from the FacilityUpgrades sub-project ($400 to $378, grant-funded case).</t>
  </si>
  <si>
    <t xml:space="preserve">See README</t>
  </si>
  <si>
    <t xml:space="preserve">services-v1</t>
  </si>
  <si>
    <t xml:space="preserve">2026-09-18: provenance premium 15% on all revenue (Inputs B42); 30% of GPU capacity moved from rental to inference seats (B43); ServiceLines sheet adds inference seats, agent hosting and RAG services; facility charge selectable grant-funded $378 or financed $1,945 per kW-yr (B44-B46).</t>
  </si>
  <si>
    <t xml:space="preserve">financing-v1</t>
  </si>
  <si>
    <t xml:space="preserve">Financing and fleet sizing</t>
  </si>
  <si>
    <t xml:space="preserve">2026-09-18 (D-20260918-06): Financing sheet added. It sizes the ask as launch hardware plus working capital (the plan's cash low point plus a $200k cushion), repaid in level annual payments over five years at an assumed 7.5%. FleetSweep sheet added: the whole workbook re-run at 4 to 16 servers in both facility funding cases, written back as values with a chart. Neither sheet was recorded when services-v1 was written.</t>
  </si>
  <si>
    <t xml:space="preserve">Ask $2.38M. 12 servers is the largest fleet inside the 110.4 kW facility design</t>
  </si>
  <si>
    <t xml:space="preserve">seats-v1</t>
  </si>
  <si>
    <t xml:space="preserve">ServiceLines: seats capped by capacity</t>
  </si>
  <si>
    <t xml:space="preserve">2026-09-21 (D-20260921-01): inference seats are now limited to what the fleet can actually serve. Row 27 held a hardcoded ramp of 200 rising to 3,500; it now reads =MIN(row 31, row 52 / tokens per seat), and the planned ramp moves to the new row 31 as the yellow input. Without the cap a small fleet booked the full seat book on a fraction of the GPUs: a 2-server run needed 138% of its inference capacity.</t>
  </si>
  <si>
    <t xml:space="preserve">No change at the base plan (year-5 capacity use 23%). Binds only below about 3 servers</t>
  </si>
  <si>
    <t xml:space="preserve">sweep-v2</t>
  </si>
  <si>
    <t xml:space="preserve">Fleet and launch sizing</t>
  </si>
  <si>
    <t xml:space="preserve">2026-09-21 (D-20260921-01): FleetSweep extended from 4-16 to 1-16 servers. New LaunchRamp sheet holds the year-4 fleet at 12 servers and varies only the year-0 purchase, which is the question of whether to launch with a pilot rather than how big to end up. Both sheets now also record the amount financed, the annual payment, lowest cash after loan payments, seats served against seats planned, and the facility's cost recovery at each size.</t>
  </si>
  <si>
    <t xml:space="preserve">A 16-GPU launch growing to 96 cuts the ask from $2.38M to $0.76M for 16% of NPV</t>
  </si>
  <si>
    <t xml:space="preserve">grantshare-v1</t>
  </si>
  <si>
    <t xml:space="preserve">Inputs: facility grant share</t>
  </si>
  <si>
    <t xml:space="preserve">2026-09-21 (D-20260921-02): Inputs B44, the grant share of facility capex, becomes a first-class control adjustable anywhere from 0% to 100%. Percent-formatted rather than a bare decimal, validated to reject anything outside the range, with a prompt explaining both endpoints. A live readout at Inputs D42:E47 reports the charge per kW, the six-year facility charge, revenue per $1 of cost, the ask, and year-5 cash. Base case unchanged at 100%.</t>
  </si>
  <si>
    <t xml:space="preserve">No change to results. At 0%: $1,945/kW, $1.63 per $1, $2.23M year-5 cash</t>
  </si>
  <si>
    <t xml:space="preserve">cooling-v1</t>
  </si>
  <si>
    <t xml:space="preserve">Cooling: air against liquid</t>
  </si>
  <si>
    <t xml:space="preserve">2026-09-21 (D-20260921-04): new CoolingCases sheet and scripts/coolingCases.py. Air and liquid are run at pilot scale (8 GPUs growing to 16) and at full build, each sizing the facility to its own load and cooling type and then billing the compute the charge that facility earns. Air moves four compute inputs (host watts 4,600, no cold-plate kit, PUE 1.22, the charge) and four facility inputs (server 10.2 kW, no heat to the liquid loop, no heat recovery).</t>
  </si>
  <si>
    <t xml:space="preserve">No change to the committed plan; the liquid-base column reproduces it to within $24 of rounding on the charge. Air cuts the pilot combined ask from $1.27M to $1.08M and forfeits the $18,050 incentive and $13,404 a year of displaced oil. At full build air appears to save $536k, but the air cooling plant is priced by a liquid model: at the repo rate of $5,800/kW that saving falls to $123k. See Q-20260921-04.</t>
  </si>
  <si>
    <t xml:space="preserve">cooling-v2</t>
  </si>
  <si>
    <t xml:space="preserve">FacilityUpgradesModel: air path priced properly</t>
  </si>
  <si>
    <t xml:space="preserve">2026-09-21 (D-20260921-05): the Cooling sheet gained an air block (rows 38-63) with 13 line items scaled per line from the 50 kW estimate in research/20260918-CoolingSystemEstimate.md. It fires when Design B10 = 0. The residual in-row line (row 17) is suppressed in air mode, the summer-peak draw uses an air coefficient, and Summary B14/B15 now pay no heat-recovery incentive and displace no oil without a liquid loop. The liquid path is untouched.</t>
  </si>
  <si>
    <t xml:space="preserve">Liquid case bit-for-bit unchanged ($777,753 plant, $1,781,544 total, $378/$1,945 per kW). The air cooling plant goes from $74,076 to $163,715 at pilot scale and from $297,091 to $548,633 at full build. Air combined ask $1,078,796 to $1,170,826 (pilot) and $3,626,774 to $3,887,352 (full). Air's NPV lead falls to $8,215 and $24,790, both inside the noise, and neither counts the forfeited heat recovery.</t>
  </si>
  <si>
    <t xml:space="preserve">cooling-v3</t>
  </si>
  <si>
    <t xml:space="preserve">Cooling: air levelled to N+1</t>
  </si>
  <si>
    <t xml:space="preserve">2026-09-21 (D-20260921-06): the air block gained a redundancy line (one more unit with its condenser, piping and circuit, $50k/$85k/$150k at the 54.5 kW reference, exponent 0.8, same minimum-unit floor) and its maintenance now carries three units rather than two. The liquid lines already named N+1 on CDUs, dry-cooler fans, in-row units and pumps, so the earlier air figures were N and the comparison was not like for like. Power stays single path in every case.</t>
  </si>
  <si>
    <t xml:space="preserve">Air cooling plant $163,715 to $219,815 (pilot) and $548,633 to $754,670 (full build). The ranking flips: liquid now wins on NPV at both scales, by $2,199 at pilot and $4,414 at full build, before counting the $18,050 incentive and $13,404 a year of oil that air forfeits. At full build the air FACILITY now costs more than the liquid one ($1,830,151 against $1,781,544); air stays cheaper on the combined ask only because the servers need no cold-plate kits.</t>
  </si>
  <si>
    <t xml:space="preserve">redundancy-v1</t>
  </si>
  <si>
    <t xml:space="preserve">Facility: modular UPS with an N+1 module</t>
  </si>
  <si>
    <t xml:space="preserve">2026-09-21 (D-20260921-07): new selector Design B30 (default 1). BackupPower gains a modular UPS premium (frame plus one spare module, $26k/$33k/$42k at the 70 kVA reference, exponent 0.55) and a commissioning delta. Summary F24 now replaces batteries every 12 years with the modular option rather than 4.5, because modular frames in this class ship lithium-ion. Inputs B45/B46 in the compute model move from 378/1945 to 345/1970. Electrical rows 19-21 gained notes making explicit that the 12s are two PDUs and two circuits per rack across SIX racks, not one per server.</t>
  </si>
  <si>
    <t xml:space="preserve">Facility $1,781,544 to $1,847,017 (+$65,473). O&amp;M FALLS $41,695 to $38,121, because the battery reserve drops $7,329 to $3,755. Grant-funded charge $378 to $345 per kW; financed $1,945 to $1,970. Net cost over 15 years at 6% is about $30,000 at either fleet size. Six-year revenue per dollar 1.92 to 1.93; ask $2.38M; year-5 cash $3.16M to $3.18M.</t>
  </si>
  <si>
    <t xml:space="preserve">fiber-v1</t>
  </si>
  <si>
    <t xml:space="preserve">Facility: second fiber entrance</t>
  </si>
  <si>
    <t xml:space="preserve">2026-09-21 (D-20260921-08): Electrical row 37 carries a second, physically diverse fiber entrance from the building to the ring the site already sits on. Flat $10,000 across low, mid and high, because it is a given rather than an estimated range, with exponent 0 since it does not scale with IT load. It sits in the Electrical subtotal, so the sheet contingency applies and it lands as $11,500 at the mid case. Summary A5 renamed to name it.</t>
  </si>
  <si>
    <t xml:space="preserve">Electrical $650,794 to $662,294; facility $1,847,017 to $1,858,517. O&amp;M and the grant-funded charge are unchanged ($38,121 and $345/kW) because fiber carries no maintenance line. Financed charge $1,970 to $1,981 per kW, and Inputs B46 follows. Removes the last single point of failure outside the four power components, and revises the availability estimate.</t>
  </si>
  <si>
    <t xml:space="preserve">rate-v1</t>
  </si>
  <si>
    <t xml:space="preserve">Inputs: electricity rate 22c to 12.5c</t>
  </si>
  <si>
    <t xml:space="preserve">2026-09-21 (D-20260921-09): Inputs B11 moves from $0.22/kWh to $0.125. The 22c was v76's placeholder (D-20260918-02), being the Maine state average from the barred 12.5/22 spread, and roughly double what this site pays. 12.5c is the figure Luke Dyer gave, from VBL&amp;P's own published line. Held as an interim pending Schofield's rate sheet (Q-20260921-07).</t>
  </si>
  <si>
    <t xml:space="preserve">Six-year electricity $629,928 to $357,914. Revenue per dollar 1.93 to 2.04, crossing 2.0 for the first time. Ask $2,378,561 to $2,343,463; payment $587,896 to $579,221; lowest cash after loan $992,260 to $1,044,779; year-5 cash $3.18M to $3.47M. The cooling conclusion is unchanged: the compute-only NPV now favours air by $34,248, but over 15 years air still loses by $243,868 with heat recovery counted and $113,686 without it.</t>
  </si>
  <si>
    <t xml:space="preserve">scenarios-v1</t>
  </si>
  <si>
    <t xml:space="preserve">Two readable scenario sheets</t>
  </si>
  <si>
    <t xml:space="preserve">2026-09-21 (D-20260921-10): Scenario_Pilot and Scenario_FullBuild, placed after Glossary so they are the first thing a reader meets. One page each: shape, capital needed, six-year return, year-by-year cash, revenue by line, and what to know. Produced by scripts/scenarioSheets.py (build.sh --scenarios). The pilot sizes its own 18.4 kW facility and pays the higher per-kW charge that facility earns; the full build uses the stored charges and so reproduces the committed package to the dollar.</t>
  </si>
  <si>
    <t xml:space="preserve">No change to any figure. Pilot: $496,473 compute plus $817,273 facility = $1,313,746 total, 3.92 revenue per dollar, NPV $2,050,328, seats capped at 2,523 from year 4. Full build: $2,343,463 plus $1,858,517 = $4,201,979, 2.04 per dollar, NPV $3,007,083.</t>
  </si>
  <si>
    <t xml:space="preserve">log-gap</t>
  </si>
  <si>
    <t xml:space="preserve">Where the log was not kept</t>
  </si>
  <si>
    <t xml:space="preserve">2026-09-22 to 2026-09-27: the changes in that period are recorded in DecisionLog.md, D-20260922-01 to D-20260924-03, and not here. Each names the cells it touched.</t>
  </si>
  <si>
    <t xml:space="preserve">switch-v1</t>
  </si>
  <si>
    <t xml:space="preserve">A live Scenarios switch</t>
  </si>
  <si>
    <t xml:space="preserve">2026-09-28 (D-20260928-03): the Scenarios sheet (B4) flips the whole workbook between the full build, the pilot, and the full build financed. scripts/scenarioSheets.py checks the switch against its own runs.</t>
  </si>
  <si>
    <t xml:space="preserve">rate-basis-v1</t>
  </si>
  <si>
    <t xml:space="preserve">Financing: the rate's assumption stated</t>
  </si>
  <si>
    <t xml:space="preserve">2026-09-28 (D-20260928-04): Financing C5 says 7.5% assumes a nonprofit guarantee. The financial summary shows the plan at 10% and 12%.</t>
  </si>
  <si>
    <t xml:space="preserve">inference-v2</t>
  </si>
  <si>
    <t xml:space="preserve">ServiceLines: inference share derived per year</t>
  </si>
  <si>
    <t xml:space="preserve">2026-09-28 (D-20260928-05): the flat 30% (Inputs B43) is replaced by ServiceLines row 57, the whole GPUs needed for planned seats at the target use in B24, never fewer than B25. Class rows 73, 91 and 101-103 and ServiceLines rows 51 and 55 read it. The freed GPUs are rented, so revenue rises.</t>
  </si>
  <si>
    <t xml:space="preserve">overhead-v2</t>
  </si>
  <si>
    <t xml:space="preserve">Inputs: SOC 2 and managed-services E&amp;O</t>
  </si>
  <si>
    <t xml:space="preserve">2026-09-28 (D-20260928-07): Inputs B50 (E&amp;O, 1% of revenue) feeds class row 80; B51 (SOC 2, $30,000 a year) feeds class row 81. Both [ESTIMATE].</t>
  </si>
  <si>
    <t xml:space="preserve">notes-v1</t>
  </si>
  <si>
    <t xml:space="preserve">Basis notes brought current</t>
  </si>
  <si>
    <t xml:space="preserve">2026-09-28 (D-20260928-08): stale notes rewritten on Inputs G11 and class L18, L25-L39, and Unknowns rows 11 and 21.</t>
  </si>
  <si>
    <t xml:space="preserve">rate-v2</t>
  </si>
  <si>
    <t xml:space="preserve">Financing: loan rate 7.5% to 8.5%</t>
  </si>
  <si>
    <t xml:space="preserve">2026-10-02 (D-20261002-03): Financing B5 moves from 7.5% to 8.5%, still on the assumption that a loan guarantee is available; C5 rewritten. The facility loan (FacilityUpgradesModel Summary F32) moves to 8.5% too, and the scripts now discount NPV at B5 instead of a fixed 7.5%.</t>
  </si>
  <si>
    <t xml:space="preserve">See DecisionLog D-20261002-03 for the before-and-after figures</t>
  </si>
  <si>
    <t xml:space="preserve">tax-v1</t>
  </si>
  <si>
    <t xml:space="preserve">Property tax, BETE credit, payment to the community</t>
  </si>
  <si>
    <t xml:space="preserve">2026-10-06 (D-20261006-01): Inputs rows 76-82 and class sheet rows 113-119 carry property tax on the hardware (14.84 per $1,000, cost less 20% a year, 20% floor), a BETE credit of equal size, and a payment to the host community equal to the town's unreimbursed half; row 119 is in TOTAL OPEX (row 87). The facility workbook taxes its improvements as if not exempt, on component lives (Summary rows 45-49), which raises both facility charges.</t>
  </si>
  <si>
    <t xml:space="preserve">Facility charge $368 to $598 grant-funded, $2,311 to $2,541 financed. Ask $2,118,859 to $2,137,148; year-5 cash $4.88M to $4.68M (financed facility $3.55M to $3.34M); lowest cash $1.18M to $1.16M; revenue per $1 2.23 to 2.15 (1.79 to 1.73). Payment to the community $45,824 over six years.</t>
  </si>
  <si>
    <t xml:space="preserve">Recurring pattern: every time an invented figure was replaced with a sourced one, the result fell. FPGA is the class that has been through that process least.</t>
  </si>
  <si>
    <t xml:space="preserve">SINCE MODEL v57 AND PROSPECTUS v71, THE HEADLINE CHANGES</t>
  </si>
  <si>
    <t xml:space="preserve">  AMD went from -34% to +53%, mostly a formula bug and partly repricing on posted rental listings.</t>
  </si>
  <si>
    <t xml:space="preserve">  NVIDIA datacenter went from -7% to +36% when licensing was turned off on a parity argument.</t>
  </si>
  <si>
    <t xml:space="preserve">  Apple went from +7% to -7% when its rate was anchored to MacStadium instead of an invented figure.</t>
  </si>
  <si>
    <t xml:space="preserve">  Maintenance hours were normalised per module; Apple had been at twelve times consumer GPU on a sealed appliance.</t>
  </si>
  <si>
    <t xml:space="preserve">  A power scenario grid was added, and it shows the ranking does not survive cheap electricity.</t>
  </si>
  <si>
    <t xml:space="preserve">  The two GPU sheets were renamed to NVIDIA.</t>
  </si>
  <si>
    <t xml:space="preserve">INPUTS: SINGLE SOURCE OF TRUTH</t>
  </si>
  <si>
    <t xml:space="preserve">Blue cells are inputs. Everything else in this workbook is computed.</t>
  </si>
  <si>
    <t xml:space="preserve">Section A holds facts that are true regardless of hardware. The class sheet references these cells.</t>
  </si>
  <si>
    <t xml:space="preserve">This workbook carries one path only: used NVIDIA datacenter GPUs, direct-to-chip liquid cooled. Compute only.</t>
  </si>
  <si>
    <t xml:space="preserve">Section B is the capital envelope and the check against what the purchase plan consumes. Facility capex is a separate sub-project.</t>
  </si>
  <si>
    <t xml:space="preserve">A. GLOBAL CONSTANTS</t>
  </si>
  <si>
    <t xml:space="preserve">Value</t>
  </si>
  <si>
    <t xml:space="preserve">Basis</t>
  </si>
  <si>
    <t xml:space="preserve">Electricity rate, all-in $/kWh (VBL&amp;P interim, pending the rate sheet)</t>
  </si>
  <si>
    <t xml:space="preserve">The host utility's single flat rate, as represented to MOCSI (D-20260921-09): it applies to every customer. A representation, not a quote; the written rate card has been requested and has not arrived. Maine's commercial average is 23.27c (row 71), so this rate does not carry over to most sites. SOURCED, UNCONFIRMED.</t>
  </si>
  <si>
    <t xml:space="preserve">Loaded labour rate $/hour</t>
  </si>
  <si>
    <t xml:space="preserve">About $135,000 a year fully loaded at 1,800 productive hours. ESTIMATED, no hiring done.</t>
  </si>
  <si>
    <t xml:space="preserve">Productive hours per FTE per year</t>
  </si>
  <si>
    <t xml:space="preserve">CONVENTION.</t>
  </si>
  <si>
    <t xml:space="preserve">Hours per year</t>
  </si>
  <si>
    <t xml:space="preserve">Hours in a year.</t>
  </si>
  <si>
    <t xml:space="preserve">Marketplace utilisation</t>
  </si>
  <si>
    <t xml:space="preserve">Share of available hours a marketplace machine is actually rented. ESTIMATED: no platform publishes a curve for a new host.</t>
  </si>
  <si>
    <t xml:space="preserve">Marketplace platform fee</t>
  </si>
  <si>
    <t xml:space="preserve">Vast is 10-15%. RunPod host split unpublished. MARKET RANGE.</t>
  </si>
  <si>
    <t xml:space="preserve">Insurance, share of hardware value</t>
  </si>
  <si>
    <t xml:space="preserve">Property and inland marine. 24/7 commercial duty must be disclosed. ESTIMATED, no broker quote.</t>
  </si>
  <si>
    <t xml:space="preserve">Tax rate for after-tax views</t>
  </si>
  <si>
    <t xml:space="preserve">ILLUSTRATIVE. Confirm entity position and Maine conformity with a CPA.</t>
  </si>
  <si>
    <t xml:space="preserve">B. CAPITAL ENVELOPE</t>
  </si>
  <si>
    <t xml:space="preserve">Total capital available over six years</t>
  </si>
  <si>
    <t xml:space="preserve">One path, compute hardware only. The facility sub-project has its own capital budget (FacilityUpgrades workbook).</t>
  </si>
  <si>
    <t xml:space="preserve">Total capital available</t>
  </si>
  <si>
    <t xml:space="preserve">Path</t>
  </si>
  <si>
    <t xml:space="preserve">Capex deployed</t>
  </si>
  <si>
    <t xml:space="preserve">Against envelope</t>
  </si>
  <si>
    <t xml:space="preserve">Fits?</t>
  </si>
  <si>
    <t xml:space="preserve">Used NVIDIA datacenter, liquid-cooled (IT hardware, incl. agent-hosting CPU servers)</t>
  </si>
  <si>
    <t xml:space="preserve">C. OPERATING ASSUMPTIONS SET ONCE  (class sheets read these; do not retype them there)</t>
  </si>
  <si>
    <t xml:space="preserve">Set once here and read by the class sheet.</t>
  </si>
  <si>
    <t xml:space="preserve">Duty factor, share of peak</t>
  </si>
  <si>
    <t xml:space="preserve">Average power draw as a share of peak, across a year. A property of the workload, not of the contract. UNMEASURED.</t>
  </si>
  <si>
    <t xml:space="preserve">PUE (Power Usage Effectiveness)</t>
  </si>
  <si>
    <t xml:space="preserve">Direct-to-chip at W32 with dry coolers, trim chiller and in-row DX for residual air heat: hourly model on Caribou TMYx gives a cooling-only partial PUE of 1.117, plus 4-6% electrical losses. Range 1.12 (economizer air side) to 1.18. MODELLED, no vendor data.</t>
  </si>
  <si>
    <t xml:space="preserve">Facility charge per kW (nameplate) per year</t>
  </si>
  <si>
    <t xml:space="preserve">Blend of grant-funded (B45) and financed (B46) charges, weighted by the grant share in B44. Both from FacilityUpgradesModel.xlsx, Summary.</t>
  </si>
  <si>
    <t xml:space="preserve">Failure reserve, share of module value</t>
  </si>
  <si>
    <t xml:space="preserve">Annual replacement provision as a share of module value. Meta fleet data annualises to about 9 percent on new datacenter hardware; used stock runs higher.</t>
  </si>
  <si>
    <t xml:space="preserve">Admin hours per customer per year</t>
  </si>
  <si>
    <t xml:space="preserve">Contract administration, invoicing, collections. Costed at the labour rate above rather than as a separate dollar figure per class.</t>
  </si>
  <si>
    <t xml:space="preserve">Sales hours to win one customer</t>
  </si>
  <si>
    <t xml:space="preserve">Set per class in column C of each class sheet, because sales effort scales with deal size. The labour rate stays here.</t>
  </si>
  <si>
    <t xml:space="preserve">Derived: admin cost per customer per year</t>
  </si>
  <si>
    <t xml:space="preserve">Provenance premium, applied to all revenue</t>
  </si>
  <si>
    <t xml:space="preserve">WHAT THE GRANT SHARE DOES  (live; changes as soon as B44 changes)</t>
  </si>
  <si>
    <t xml:space="preserve">[ESTIMATE] 15% per D-20260918-01. No customer has agreed a price yet. Multiplies every revenue line: GPU rental and all ServiceLines.</t>
  </si>
  <si>
    <t xml:space="preserve">Inference share of GPU capacity, year 5 (derived per year on ServiceLines row 57; shown for reference, read by nothing)</t>
  </si>
  <si>
    <t xml:space="preserve">Facility charge per kW per year</t>
  </si>
  <si>
    <t xml:space="preserve">Derived, no longer set by hand (D-20260928-05). Each year the model reserves the whole GPUs needed to serve planned seats at the target use in ServiceLines B24, never fewer than B25, and rents the rest. Replaces the flat 30% of 2026-09-18, which held back GPUs that seats used at most 23% of.</t>
  </si>
  <si>
    <t xml:space="preserve">Grant share of facility capex  (set anywhere from 0% to 100%)</t>
  </si>
  <si>
    <t xml:space="preserve">Facility charge the compute pays over six years</t>
  </si>
  <si>
    <t xml:space="preserve">[ESTIMATE] Open question Q-20260918-03: no grant source is named yet. Set on the Scenarios sheet (row 12), from 0% to 100%; the charge on B36 blends the two endpoints (B45, B46) in a straight line.</t>
  </si>
  <si>
    <t xml:space="preserve">Facility charge, fully grant-funded, per kW-yr</t>
  </si>
  <si>
    <t xml:space="preserve">From the Scenarios sheet (row 13): FacilityUpgradesModel.xlsx Summary F40, copied by `make facility`.</t>
  </si>
  <si>
    <t xml:space="preserve">Facility charge, fully financed (20 yrs at 7.5%), per kW-yr</t>
  </si>
  <si>
    <t xml:space="preserve">From the Scenarios sheet (row 14): FacilityUpgradesModel.xlsx Summary F37, copied by `make facility`.</t>
  </si>
  <si>
    <t xml:space="preserve">Facility design load, kW: the facility charge is billed on this from day one</t>
  </si>
  <si>
    <t xml:space="preserve">Cash at the end of year 5, compute loan repaid</t>
  </si>
  <si>
    <t xml:space="preserve">From the Scenarios sheet (row 15): FacilityUpgradesModel.xlsx Summary F26, copied by `make facility`.</t>
  </si>
  <si>
    <t xml:space="preserve">From FacilityUpgradesModel Summary!F26 (Design!B9); facts.py refuses to run if the two differ. Billing on capacity (D-20260922-04) recovers the facility's fixed cost while the fleet ramps, the way a colocation lease does. Billing on actual kW left it short in the early years.</t>
  </si>
  <si>
    <t xml:space="preserve">D. BUSINESS OVERHEAD  (exists ONCE for the whole operation, allocated across classes below)</t>
  </si>
  <si>
    <t xml:space="preserve">One accountant, one insurance policy, one monitoring stack, one person answering the phone.</t>
  </si>
  <si>
    <t xml:space="preserve">Liability and technology E&amp;O for managed services, share of revenue [ESTIMATE]</t>
  </si>
  <si>
    <t xml:space="preserve">[ESTIMATE] No broker opinion. Tom Law, 2026-09-25: insurers dislike managed services others may claim against, and require them declared. Rated on revenue because that is how E&amp;O is usually priced. Replace with a broker quote.</t>
  </si>
  <si>
    <t xml:space="preserve">SOC 2 compliance program, per year [ESTIMATE]</t>
  </si>
  <si>
    <t xml:space="preserve">[ESTIMATE] Glossary puts year one at $20,000 to $60,000; recurring Type II audits and tooling run lower, so this is a flat average from year 0. Excludes the staff time Tom Law says can reach a full-time job, which waits on the staffing analysis.</t>
  </si>
  <si>
    <t xml:space="preserve">Space rent: floor space in the host building</t>
  </si>
  <si>
    <t xml:space="preserve">Minimum space and connection before any load.</t>
  </si>
  <si>
    <t xml:space="preserve">Covered the cost of locating in a colocation data center in earlier models (Tom Law, 2026-09-22). It is not a facility cost: the facility workbook prices the upgrades, and this pays for the square footage they sit in.</t>
  </si>
  <si>
    <t xml:space="preserve">Insurance base</t>
  </si>
  <si>
    <t xml:space="preserve">General liability and cyber. One set of policies. Hardware cover scales separately (B17), and technology E&amp;O for managed services scales with revenue (B50).</t>
  </si>
  <si>
    <t xml:space="preserve">Admin, legal, accounting base</t>
  </si>
  <si>
    <t xml:space="preserve">Bookkeeping, tax, entity costs. One accountant.</t>
  </si>
  <si>
    <t xml:space="preserve">Tooling and monitoring base</t>
  </si>
  <si>
    <t xml:space="preserve">Monitoring stack, alerting, log storage, billing platform. One stack for the business, not one per hardware class.</t>
  </si>
  <si>
    <t xml:space="preserve">General operations and management</t>
  </si>
  <si>
    <t xml:space="preserve">Time and cost of running a business rather than running machines.</t>
  </si>
  <si>
    <t xml:space="preserve">Base staffing floor, FTE</t>
  </si>
  <si>
    <t xml:space="preserve">Someone must exist regardless of fleet size: on-call, vendor calls, the things that do not scale.</t>
  </si>
  <si>
    <t xml:space="preserve">These are carried in full by the one path in this workbook.</t>
  </si>
  <si>
    <t xml:space="preserve">E. POWER SCENARIO RATES</t>
  </si>
  <si>
    <t xml:space="preserve">Rates used by the comparison grid. Set the selector below to drive every class from a scenario, or leave it at 0 to use the manual rate in Section A.</t>
  </si>
  <si>
    <t xml:space="preserve">  Free: host-bundled, curtailed or surplus</t>
  </si>
  <si>
    <t xml:space="preserve">No metered cost. Requires an arrangement nobody has secured.</t>
  </si>
  <si>
    <t xml:space="preserve">  Subsidised: negotiated or site-specific</t>
  </si>
  <si>
    <t xml:space="preserve">A negotiated supply contract, or an industrial site with its own access.</t>
  </si>
  <si>
    <t xml:space="preserve">  Market: Maine commercial average</t>
  </si>
  <si>
    <t xml:space="preserve">SOURCED. Versant large business runs about $0.32 all-in, CMP about $0.27.</t>
  </si>
  <si>
    <t xml:space="preserve">  Behind-the-meter generation, unsubsidised</t>
  </si>
  <si>
    <t xml:space="preserve">Computed on PowerScenarios from array cost, capacity factor and lifetime output.</t>
  </si>
  <si>
    <t xml:space="preserve">  SELECTED SCENARIO (0 manual, 1 free, 2 subsidised, 3 market, 4 behind-the-meter)</t>
  </si>
  <si>
    <t xml:space="preserve">  ACTIVE ELECTRICITY RATE, read by every class</t>
  </si>
  <si>
    <t xml:space="preserve">Every class sheet reads this cell.</t>
  </si>
  <si>
    <t xml:space="preserve">F. PROPERTY TAX, BETE, AND PAYMENT TO THE COMMUNITY</t>
  </si>
  <si>
    <t xml:space="preserve">Property tax rate at the lead site, $ per $1,000 of full value</t>
  </si>
  <si>
    <t xml:space="preserve">Maine Revenue Services 2024 full value (equalized) rate, published January 2026. Candidate sites run 9.83 to 19.99. Must equal the facility workbook's Summary!F46 (facts.py checks). research/20261006-PropertyTaxExposure.md</t>
  </si>
  <si>
    <t xml:space="preserve">Assessed value of hardware: depreciation per year from cost</t>
  </si>
  <si>
    <t xml:space="preserve">[ASSUMPTION] Straight line from purchase cost. Assessors use their own percent-good tables for computer equipment.</t>
  </si>
  <si>
    <t xml:space="preserve">Assessed value of hardware: floor, share of cost</t>
  </si>
  <si>
    <t xml:space="preserve">[ASSUMPTION] Assessed value never falls below this share of cost while the hardware is held.</t>
  </si>
  <si>
    <t xml:space="preserve">BETE: share of the hardware tax exempted</t>
  </si>
  <si>
    <t xml:space="preserve">Business Equipment Tax Exemption, 36 M.R.S. 691-700-B. No exclusion fits remote compute sales. MOCSI must file with the town assessor by 1 May every year; a late filing loses that year (s. 693).</t>
  </si>
  <si>
    <t xml:space="preserve">State reimbursement of the town's BETE loss</t>
  </si>
  <si>
    <t xml:space="preserve">Standard reimbursement is 50% (36 M.R.S. 694); more where business personal property exceeds 5% of town valuation, or under a TIF district.</t>
  </si>
  <si>
    <t xml:space="preserve">Payment to the community: share of the town's unreimbursed loss</t>
  </si>
  <si>
    <t xml:space="preserve">Fletcher, 2026-10-06: MOCSI pays the host community the tax it loses to BETE after the State's reimbursement.</t>
  </si>
  <si>
    <t xml:space="preserve">USED NVIDIA DATACENTER GPU, DIRECT-TO-CHIP LIQUID COOLED</t>
  </si>
  <si>
    <t xml:space="preserve">ECC, CUDA, deep liquid secondary market, marketplace backfill available, NVAIE licensing applies.</t>
  </si>
  <si>
    <t xml:space="preserve">Serves every tier including regulated. Compute only: the building, power and cooling plant are a separate sub-project (FacilityUpgrades), paid for here through the facility charge.</t>
  </si>
  <si>
    <t xml:space="preserve">HARDWARE ROWS</t>
  </si>
  <si>
    <t xml:space="preserve">Row</t>
  </si>
  <si>
    <t xml:space="preserve">Intro yr</t>
  </si>
  <si>
    <t xml:space="preserve">Modules/unit</t>
  </si>
  <si>
    <t xml:space="preserve">Memory GB</t>
  </si>
  <si>
    <t xml:space="preserve">Rate $/mod/mo</t>
  </si>
  <si>
    <t xml:space="preserve">Mkt $/mod-hr</t>
  </si>
  <si>
    <t xml:space="preserve">Watts/mod</t>
  </si>
  <si>
    <t xml:space="preserve">$/module</t>
  </si>
  <si>
    <t xml:space="preserve">Non-module $/unit</t>
  </si>
  <si>
    <t xml:space="preserve">Licence yrs</t>
  </si>
  <si>
    <t xml:space="preserve">Host W/unit</t>
  </si>
  <si>
    <t xml:space="preserve">Note</t>
  </si>
  <si>
    <t xml:space="preserve">H100 80GB</t>
  </si>
  <si>
    <t xml:space="preserve">Used, two generations back. Non-module cost is a dual-socket HGX-class host: CPUs, 1-2TB RAM, NVMe, high-speed NICs, baseboard.</t>
  </si>
  <si>
    <t xml:space="preserve">H200 141GB</t>
  </si>
  <si>
    <t xml:space="preserve">1.76x the memory at roughly a 30% rate premium, so cheaper per gigabyte. Published dedicated H200 runs $2,750+/GPU/mo.</t>
  </si>
  <si>
    <t xml:space="preserve">Next gen 192GB</t>
  </si>
  <si>
    <t xml:space="preserve">Placeholder for whatever is two generations back by year 4. HGX B200 is 1,000 W per GPU (Lenovo Press LP2226) and ships 180 GB usable; v76 had 750 W and 192 GB, which match AMD MI300X.</t>
  </si>
  <si>
    <t xml:space="preserve">CLASS BEHAVIOUR</t>
  </si>
  <si>
    <t xml:space="preserve">Share of fleet on contract</t>
  </si>
  <si>
    <t xml:space="preserve">Rows with a zero marketplace rate override this to 100%.</t>
  </si>
  <si>
    <t xml:space="preserve">Contract repricing per year held</t>
  </si>
  <si>
    <t xml:space="preserve">Marketplace decay per year held</t>
  </si>
  <si>
    <t xml:space="preserve">Hardware cost decay per year after intro</t>
  </si>
  <si>
    <t xml:space="preserve">Resale at retirement, share of entry cost</t>
  </si>
  <si>
    <t xml:space="preserve">DORMANT as configured: retirement is 6 years in a 6-year model, so nothing reaches retirement and no resale is booked. Unsourced. See Unknowns.</t>
  </si>
  <si>
    <t xml:space="preserve">Retire after this many years</t>
  </si>
  <si>
    <t xml:space="preserve">Licensing required? 1 yes 0 no</t>
  </si>
  <si>
    <t xml:space="preserve">OFF. NVIDIA's enterprise licence is needed for vGPU slicing and NVIDIA's own enterprise software and support; running CUDA and an open-source inference server, with MIG partitions, should not need it [INFER, to confirm in writing]. Switched on at the row 19 rate it moved this case from +36% to -7% (ChangeHistory, v66). Switch to 1 if a customer contractually requires vendor-backed support.</t>
  </si>
  <si>
    <t xml:space="preserve">Licence cost per module per year</t>
  </si>
  <si>
    <t xml:space="preserve">List price. Education and Inception members pay $1,125. Only applies if the flag above is 1.</t>
  </si>
  <si>
    <t xml:space="preserve">Liquid-cooling hardware per unit (cold plates, manifold, fittings)</t>
  </si>
  <si>
    <t xml:space="preserve">No used liquid-cooled HGX H100 systems were found for sale, so the route is used air-cooled HGX plus a cold-plate retrofit (GPUs, NVSwitch, CPUs) by an integrator: $3k / $8k / $15k per server [INFER; gpu.fm quotes $1-3k, judged low]. Keep the original heatsinks for resale. Retrofit moves warranty risk to the operator.</t>
  </si>
  <si>
    <t xml:space="preserve">OPEX DRIVERS</t>
  </si>
  <si>
    <t xml:space="preserve">Electricity rate $/kWh</t>
  </si>
  <si>
    <t xml:space="preserve">Set on Inputs, driven by the scenario selector there.</t>
  </si>
  <si>
    <t xml:space="preserve">Set on Inputs.</t>
  </si>
  <si>
    <t xml:space="preserve">Space rent (Inputs B52)</t>
  </si>
  <si>
    <t xml:space="preserve">From Inputs. Carried in full by the one path in this workbook.</t>
  </si>
  <si>
    <t xml:space="preserve">Set on Inputs B36. Grant-funded, it covers the facility's upkeep and UPS battery reserve; financed, the loan payment plus upkeep, as priced by the FacilityUpgrades sub-project. Floor space is separate (B25).</t>
  </si>
  <si>
    <t xml:space="preserve">Maintenance hours per unit per month</t>
  </si>
  <si>
    <t xml:space="preserve">2 hours per unit per month, 0.25 per module across 8 modules. Monitoring, card swaps, RMA handling.</t>
  </si>
  <si>
    <t xml:space="preserve">Support hours per customer per month</t>
  </si>
  <si>
    <t xml:space="preserve">Four hours a month per rental customer: tickets, access changes, account questions. ESTIMATED. Seat and services customers carry no support hours here; that gap waits on the staffing analysis.</t>
  </si>
  <si>
    <t xml:space="preserve">Units per customer</t>
  </si>
  <si>
    <t xml:space="preserve">Divides contracted units into a customer count.</t>
  </si>
  <si>
    <t xml:space="preserve">Admin base</t>
  </si>
  <si>
    <t xml:space="preserve">Admin per customer per year</t>
  </si>
  <si>
    <t xml:space="preserve">Tooling base</t>
  </si>
  <si>
    <t xml:space="preserve">Tooling per unit per year</t>
  </si>
  <si>
    <t xml:space="preserve">Sales cost per customer won  (hours x labour rate)</t>
  </si>
  <si>
    <t xml:space="preserve">Hours in column C, scaled to deal size. Rate from Inputs. $18,500/mo deal. Enterprise sale with security review and procurement. 80 hours defensible.</t>
  </si>
  <si>
    <t xml:space="preserve">Contract term for amortizing sales, years</t>
  </si>
  <si>
    <t xml:space="preserve">Sales cost per customer is spread over this term. ESTIMATED: no contract has been signed.</t>
  </si>
  <si>
    <t xml:space="preserve">Engineering cost per model ported</t>
  </si>
  <si>
    <t xml:space="preserve">Zero for CUDA classes: a customer container just runs. Non-zero where every model is a deployment project.</t>
  </si>
  <si>
    <t xml:space="preserve">Models ported per year</t>
  </si>
  <si>
    <t xml:space="preserve">Measured peak draw, share of nameplate</t>
  </si>
  <si>
    <t xml:space="preserve">A liquid-cooled 8x H100 node averaged 6.99 kW under GPU burn (arXiv 2507.16781) against a ~9.2 kW nameplate: 76%. Applied to energy only; the facility is sized to nameplate.</t>
  </si>
  <si>
    <t xml:space="preserve">UNITS BOUGHT</t>
  </si>
  <si>
    <t xml:space="preserve">Cost per unit if bought that year  (modules x $/module + non-module cost, decayed; plus liquid-cooling hardware, not decayed)</t>
  </si>
  <si>
    <t xml:space="preserve">Revenue per unit that year</t>
  </si>
  <si>
    <t xml:space="preserve">Licensing per unit that year</t>
  </si>
  <si>
    <t xml:space="preserve">Units held, cumulative</t>
  </si>
  <si>
    <t xml:space="preserve">Total units</t>
  </si>
  <si>
    <t xml:space="preserve">IT peak load, nameplate kW</t>
  </si>
  <si>
    <t xml:space="preserve">Customers implied (rental share only, that year's share)</t>
  </si>
  <si>
    <t xml:space="preserve">OPERATING COST, COMPUTED FROM DRIVERS</t>
  </si>
  <si>
    <t xml:space="preserve">Line</t>
  </si>
  <si>
    <t xml:space="preserve">Electricity (IT x measured peak x duty x PUE)</t>
  </si>
  <si>
    <t xml:space="preserve">Space rent plus facility charge, billed on the facility design load or the peak load if higher (the charge goes to the FacilityUpgrades sub-project)</t>
  </si>
  <si>
    <t xml:space="preserve">Personnel</t>
  </si>
  <si>
    <t xml:space="preserve">Insurance (base, hardware, and managed-services E&amp;O on revenue)</t>
  </si>
  <si>
    <t xml:space="preserve">Admin, legal, accounting, and SOC 2 compliance</t>
  </si>
  <si>
    <t xml:space="preserve">Tooling and monitoring</t>
  </si>
  <si>
    <t xml:space="preserve">Sales, amortized</t>
  </si>
  <si>
    <t xml:space="preserve">General operations</t>
  </si>
  <si>
    <t xml:space="preserve">Engineering: model porting</t>
  </si>
  <si>
    <t xml:space="preserve">Failure reserve</t>
  </si>
  <si>
    <t xml:space="preserve">TOTAL OPEX  (rows 77-86 plus property tax, net, row 119)</t>
  </si>
  <si>
    <t xml:space="preserve">SIX-YEAR CASH FLOW</t>
  </si>
  <si>
    <t xml:space="preserve">Revenue (GPU rental x (1 - that year's inference share) x (1 + premium), plus ServiceLines)</t>
  </si>
  <si>
    <t xml:space="preserve">Operating cost (class sheet plus ServiceLines)</t>
  </si>
  <si>
    <t xml:space="preserve">Capex (GPU servers plus agent-hosting CPU servers)</t>
  </si>
  <si>
    <t xml:space="preserve">Resale on retirement</t>
  </si>
  <si>
    <t xml:space="preserve">NET CASH</t>
  </si>
  <si>
    <t xml:space="preserve">Cumulative</t>
  </si>
  <si>
    <t xml:space="preserve">PER-ROW RETURN</t>
  </si>
  <si>
    <t xml:space="preserve">Capex</t>
  </si>
  <si>
    <t xml:space="preserve">Revenue to Y5</t>
  </si>
  <si>
    <t xml:space="preserve">Return</t>
  </si>
  <si>
    <t xml:space="preserve">kW at Y5</t>
  </si>
  <si>
    <t xml:space="preserve">Revenue per kW</t>
  </si>
  <si>
    <t xml:space="preserve">CUT LINES</t>
  </si>
  <si>
    <t xml:space="preserve">Six-year full cost</t>
  </si>
  <si>
    <t xml:space="preserve">Available module-hours over six years</t>
  </si>
  <si>
    <t xml:space="preserve">Breakeven per available module-hour</t>
  </si>
  <si>
    <t xml:space="preserve">Breakeven per unit per month</t>
  </si>
  <si>
    <t xml:space="preserve">Revenue per $1 of total cost</t>
  </si>
  <si>
    <t xml:space="preserve">PROPERTY TAX, BETE CREDIT, AND PAYMENT TO THE COMMUNITY  (row 119 is in TOTAL OPEX, row 87)</t>
  </si>
  <si>
    <t xml:space="preserve">Assessed value of hardware on 1 April (cost less depreciation, floored)</t>
  </si>
  <si>
    <t xml:space="preserve">Property tax on hardware</t>
  </si>
  <si>
    <t xml:space="preserve">BETE credit</t>
  </si>
  <si>
    <t xml:space="preserve">Payment to the community (the town's BETE loss not reimbursed by the State)</t>
  </si>
  <si>
    <t xml:space="preserve">Net: property tax, BETE credit, and payment to the community</t>
  </si>
  <si>
    <t xml:space="preserve">SERVICE LINES: INFERENCE SEATS, AGENT HOSTING, ENGINEERING SERVICES</t>
  </si>
  <si>
    <t xml:space="preserve">Revenue beside GPU rental. Every price is multiplied by the provenance premium. Yellow cells are [ESTIMATE] unless noted.</t>
  </si>
  <si>
    <t xml:space="preserve">Benchmarks: research/20260918-AiServicePricingBenchmarks.md (mid planning figures).</t>
  </si>
  <si>
    <t xml:space="preserve">A. ASSUMPTIONS</t>
  </si>
  <si>
    <t xml:space="preserve">Inference seat price per month (before premium)</t>
  </si>
  <si>
    <t xml:space="preserve">Mid of $15-50. HF Team $20, Le Chat Team $24.99, ChatGPT Business $20-25.</t>
  </si>
  <si>
    <t xml:space="preserve">Inference direct cost per seat per month</t>
  </si>
  <si>
    <t xml:space="preserve">[ESTIMATE] Support, identity, storage. GPU power and depreciation are already in the class sheet.</t>
  </si>
  <si>
    <t xml:space="preserve">Tokens per seat per month</t>
  </si>
  <si>
    <t xml:space="preserve">[ESTIMATE] A regular chat and document user, including retrieved context.</t>
  </si>
  <si>
    <t xml:space="preserve">Output tokens per GPU-hour (70B-class model)</t>
  </si>
  <si>
    <t xml:space="preserve">Mid for Llama 3.3 70B FP8 on H100 with vLLM (range 2M-6.5M). Used for the capacity check only.</t>
  </si>
  <si>
    <t xml:space="preserve">Average utilization of inference GPUs</t>
  </si>
  <si>
    <t xml:space="preserve">[INFER] 30-60% range.</t>
  </si>
  <si>
    <t xml:space="preserve">Sandbox price per vCPU-hour (before premium)</t>
  </si>
  <si>
    <t xml:space="preserve">E2B and Daytona $0.0504; Modal $0.071; Northflank $0.017.</t>
  </si>
  <si>
    <t xml:space="preserve">vCPUs per CPU server</t>
  </si>
  <si>
    <t xml:space="preserve">2 x 64-core EPYC, 256 threads.</t>
  </si>
  <si>
    <t xml:space="preserve">Sandbox utilization</t>
  </si>
  <si>
    <t xml:space="preserve">[ESTIMATE]</t>
  </si>
  <si>
    <t xml:space="preserve">CPU server cost (used, 128 cores, 512 GB)</t>
  </si>
  <si>
    <t xml:space="preserve">Mid of $6-17k used; new DDR5 builds $25-40k during the memory shortage.</t>
  </si>
  <si>
    <t xml:space="preserve">CPU server average power, kW</t>
  </si>
  <si>
    <t xml:space="preserve">Support per CPU server per year</t>
  </si>
  <si>
    <t xml:space="preserve">[ESTIMATE] Harness curation, patching, customer help.</t>
  </si>
  <si>
    <t xml:space="preserve">RAG project price (before premium)</t>
  </si>
  <si>
    <t xml:space="preserve">Mid of $10-60k for a small organization.</t>
  </si>
  <si>
    <t xml:space="preserve">Contractor rate, $ per hour</t>
  </si>
  <si>
    <t xml:space="preserve">[ESTIMATE] Delivery partner cost; market sell rate is $125-250.</t>
  </si>
  <si>
    <t xml:space="preserve">Hours per project</t>
  </si>
  <si>
    <t xml:space="preserve">[ESTIMATE] $25k at $175/hr.</t>
  </si>
  <si>
    <t xml:space="preserve">Share of projects converting to a support retainer</t>
  </si>
  <si>
    <t xml:space="preserve">Retainer price per month (before premium)</t>
  </si>
  <si>
    <t xml:space="preserve">Mid of $500-4,000 (15-25% of build cost per year).</t>
  </si>
  <si>
    <t xml:space="preserve">Retainer delivery cost, share of retainer list price</t>
  </si>
  <si>
    <t xml:space="preserve">Provenance premium (from Inputs)</t>
  </si>
  <si>
    <t xml:space="preserve">Target use of the GPUs reserved for inference [ESTIMATE]</t>
  </si>
  <si>
    <t xml:space="preserve">Minimum GPUs held for inference, one 70B-class model instance [ESTIMATE]</t>
  </si>
  <si>
    <t xml:space="preserve">B. VOLUMES</t>
  </si>
  <si>
    <t xml:space="preserve">Inference seats served (planned, capped by capacity)</t>
  </si>
  <si>
    <t xml:space="preserve">Derived: =MIN(planned seats row 31, token capacity row 52 / tokens per seat B8). The cap stops a fleet from selling more seats than it can serve. At the 12-server base plan it is inert (capacity used in year 5 is 23%); it binds only on small fleets. Added 2026-09-21 so the fleet-size sweep can run below 4 servers honestly.</t>
  </si>
  <si>
    <t xml:space="preserve">CPU servers held for agent hosting</t>
  </si>
  <si>
    <t xml:space="preserve">RAG and integration projects delivered</t>
  </si>
  <si>
    <t xml:space="preserve">Retainers active</t>
  </si>
  <si>
    <t xml:space="preserve">Projects convert the year after delivery and stay on retainer.</t>
  </si>
  <si>
    <t xml:space="preserve">Planned inference seats before the capacity cap</t>
  </si>
  <si>
    <t xml:space="preserve">[ESTIMATE] Maine institutions first, then US public-interest nonprofits.</t>
  </si>
  <si>
    <t xml:space="preserve">C. REVENUE (after provenance premium)</t>
  </si>
  <si>
    <t xml:space="preserve">Inference seats</t>
  </si>
  <si>
    <t xml:space="preserve">RAG and integration projects</t>
  </si>
  <si>
    <t xml:space="preserve">Support retainers</t>
  </si>
  <si>
    <t xml:space="preserve">TOTAL SERVICE REVENUE</t>
  </si>
  <si>
    <t xml:space="preserve">D. OPERATING COST</t>
  </si>
  <si>
    <t xml:space="preserve">Inference seat direct cost</t>
  </si>
  <si>
    <t xml:space="preserve">Agent hosting electricity</t>
  </si>
  <si>
    <t xml:space="preserve">Agent hosting facility charge (CPU servers, billed on their actual kW)</t>
  </si>
  <si>
    <t xml:space="preserve">Agent hosting support</t>
  </si>
  <si>
    <t xml:space="preserve">Project delivery (contractors)</t>
  </si>
  <si>
    <t xml:space="preserve">Retainer delivery</t>
  </si>
  <si>
    <t xml:space="preserve">TOTAL SERVICE OPERATING COST</t>
  </si>
  <si>
    <t xml:space="preserve">CPU server purchases (capex)</t>
  </si>
  <si>
    <t xml:space="preserve">No replacement inside six years.</t>
  </si>
  <si>
    <t xml:space="preserve">E. INFERENCE CAPACITY CHECK AND TRADE-OFF</t>
  </si>
  <si>
    <t xml:space="preserve">GPUs serving inference</t>
  </si>
  <si>
    <t xml:space="preserve">Total servers x GPUs per server x inference share.</t>
  </si>
  <si>
    <t xml:space="preserve">Token capacity per month</t>
  </si>
  <si>
    <t xml:space="preserve">Token demand per month</t>
  </si>
  <si>
    <t xml:space="preserve">Share of inference capacity used</t>
  </si>
  <si>
    <t xml:space="preserve">Above 100% means more GPUs or fewer seats.</t>
  </si>
  <si>
    <t xml:space="preserve">GPU rental revenue given up to inference</t>
  </si>
  <si>
    <t xml:space="preserve">Inference seat margin over rental given up</t>
  </si>
  <si>
    <t xml:space="preserve">Inference share of GPU capacity (derived: whole GPUs to serve planned seats at the target use above, never fewer than the minimum; the rest of the fleet is rented)</t>
  </si>
  <si>
    <t xml:space="preserve">FLEET-SIZE SWEEP: HOW MANY GPU SERVERS BY YEAR 4?</t>
  </si>
  <si>
    <t xml:space="preserve">Each row is this whole workbook re-run by GrantPackage/scripts/sweep.py with five cells changed: Class_NVIDIA_Datacenter B47, D47, D48, and F48 (the purchase shape in the first four columns) and Inputs!B44 (100% for the Grant columns, 0% for the Financed ones). To see a row live, type its shape into the Scenarios sheet's Full build column (C8:C11) and its grant share into C12, then read the readout there. Use that column: every row is billed the full-build facility charge. Put it back afterwards.</t>
  </si>
  <si>
    <t xml:space="preserve">Purchase timing follows the base plan (about two-thirds of servers in year 0, the rest in years 2 and 4). All other inputs as set on Inputs and ServiceLines at the time of the run.</t>
  </si>
  <si>
    <t xml:space="preserve">The facility charge is per kW, which assumes the facility is sized to the fleet. ABOVE the 110.4 kW design load a larger transformer, generator and cooling plant are needed, and that step cost is NOT in these figures. BELOW it the facility is under-filled: its cost is nearly fixed, so a small fleet pays a per-kW charge that does not cover the building's own O&amp;M. Compare "Facility charge paid at peak" with "Facility O&amp;M a year".</t>
  </si>
  <si>
    <t xml:space="preserve">Seats are capped by inference capacity (ServiceLines row 27), so a small fleet cannot book seats it could not serve. Where the cap bites, the run is marked.</t>
  </si>
  <si>
    <t xml:space="preserve">Servers (year 4)</t>
  </si>
  <si>
    <t xml:space="preserve">Y0 H100</t>
  </si>
  <si>
    <t xml:space="preserve">Y2 H100</t>
  </si>
  <si>
    <t xml:space="preserve">Y2 H200</t>
  </si>
  <si>
    <t xml:space="preserve">Y4 H200</t>
  </si>
  <si>
    <t xml:space="preserve">Servers by year 4</t>
  </si>
  <si>
    <t xml:space="preserve">Peak kW</t>
  </si>
  <si>
    <t xml:space="preserve">GPU + CPU capex</t>
  </si>
  <si>
    <t xml:space="preserve">Peak rental customers</t>
  </si>
  <si>
    <t xml:space="preserve">Inference capacity used, Y5</t>
  </si>
  <si>
    <t xml:space="preserve">Seats served, Y5</t>
  </si>
  <si>
    <t xml:space="preserve">Seats planned, Y5</t>
  </si>
  <si>
    <t xml:space="preserve">Seats capped by capacity?</t>
  </si>
  <si>
    <t xml:space="preserve">Facility charge paid at peak (grant case)</t>
  </si>
  <si>
    <t xml:space="preserve">Facility O&amp;M a year</t>
  </si>
  <si>
    <t xml:space="preserve">Charge per kW needed to cover O&amp;M</t>
  </si>
  <si>
    <t xml:space="preserve">Grant: NPV at 8.5%</t>
  </si>
  <si>
    <t xml:space="preserve">Grant: cumulative cash Y5</t>
  </si>
  <si>
    <t xml:space="preserve">Grant: lowest cash before loan</t>
  </si>
  <si>
    <t xml:space="preserve">Grant: revenue per $1 cost</t>
  </si>
  <si>
    <t xml:space="preserve">Grant: amount financed</t>
  </si>
  <si>
    <t xml:space="preserve">Grant: lowest cash after loan</t>
  </si>
  <si>
    <t xml:space="preserve">Financed: NPV at 8.5%</t>
  </si>
  <si>
    <t xml:space="preserve">Financed: cumulative cash Y5</t>
  </si>
  <si>
    <t xml:space="preserve">Financed: lowest cash before loan</t>
  </si>
  <si>
    <t xml:space="preserve">Financed: revenue per $1 cost</t>
  </si>
  <si>
    <t xml:space="preserve">Financed: amount financed</t>
  </si>
  <si>
    <t xml:space="preserve">Financed: lowest cash after loan</t>
  </si>
  <si>
    <t xml:space="preserve">Within facility design?</t>
  </si>
  <si>
    <t xml:space="preserve">Within $2M envelope?</t>
  </si>
  <si>
    <t xml:space="preserve">no</t>
  </si>
  <si>
    <t xml:space="preserve">yes</t>
  </si>
  <si>
    <t xml:space="preserve">NO</t>
  </si>
  <si>
    <t xml:space="preserve">LAUNCH-RAMP SWEEP: HOW MANY SERVERS AT LAUNCH?</t>
  </si>
  <si>
    <t xml:space="preserve">The year-4 fleet is held at 12 servers (the largest that fits the 110.4 kW facility design). Only the year-0 purchase varies; the remainder is bought two-thirds in year 2 and the rest in year 4. Every row therefore ends at the same fleet and differs only in how fast it gets there.</t>
  </si>
  <si>
    <t xml:space="preserve">This is the sheet that answers "why not start with a pilot?". Read "Grant: amount financed" against "Grant: NPV at 8.5%": a smaller launch cuts the ask, and the cost shows up in the facility columns and in the years the fleet spends under-filled.</t>
  </si>
  <si>
    <t xml:space="preserve">Seats are capped by inference capacity, so a slow ramp cannot book seats it could not serve.</t>
  </si>
  <si>
    <t xml:space="preserve">Servers at launch</t>
  </si>
  <si>
    <t xml:space="preserve">COOLING CASES: AIR AGAINST LIQUID, AT PILOT SCALE AND FULL BUILD</t>
  </si>
  <si>
    <t xml:space="preserve">Values, not formulas: each column re-runs BOTH workbooks through GrantPackage/scripts/coolingCases.py. In FacilityUpgradesModel.xlsx it sets Design B4 (servers), B5 (kW per server), B10 (share of heat to liquid), and B27 (heat recovery). In this workbook it sets Inputs B35 (PUE), B44 to B47 (grant share and that facility's charges and design load), Class_NVIDIA_Datacenter B20 (cold plates) and K7:K8 (host watts), and the purchase shape (B47, D47, D48, F48). The switch on the Scenarios sheet cannot reproduce a column alone, because cooling changes the facility workbook too.</t>
  </si>
  <si>
    <t xml:space="preserve">Each case sizes the facility to its own fleet and cooling type, then bills the compute the charge that facility earns. The committed plan is the shaded column; its figures reproduce the base model.</t>
  </si>
  <si>
    <t xml:space="preserve">Air costs more power (more fan watts, worse PUE) and saves capital (no cold plates, a cheaper plant). It also forfeits heat recovery entirely: the incentive and the displaced oil both go to zero, which removes the reason an energy funder pays for the building.</t>
  </si>
  <si>
    <t xml:space="preserve">Air cooling is priced by its own block on the Cooling sheet (rows 38-63), built from the 50 kW estimate in research/20260918-CoolingSystemEstimate.md and scaled per line. Before D-20260921-05 an air case reported equipment only, with no labour, electrical, controls, commissioning, engineering, permits or freight. The flat $5,800/kW row is a legacy cross-check and errs in BOTH directions, because cooling capex per kW falls with scale. See research/20260921-AirCoolingCostAtFullBuild.md.</t>
  </si>
  <si>
    <t xml:space="preserve">Both paths are N+1 on cooling units and N on power: one transformer, one switchboard, one ATS, one genset, one UPS. Air was levelled to N+1 on 2026-09-21 (D-20260921-06); before that it was N and the comparison flattered it by the cost of a spare unit.</t>
  </si>
  <si>
    <t xml:space="preserve">NPV here counts the compute only. It does NOT count the $18,050 heat-recovery incentive or the $13,404 a year of displaced heating oil ($10,381 net of the heat pump's electricity, Summary B16, from D-20260922-06), which accrue to the host building and which air forfeits. At the 12.5 c/kWh rate the compute-only NPV favours AIR by $34,248 at full build, and that is a trap: over a 15-year plant life at 6%, air loses by $243,868 with the heat counted and still by $113,686 with it ignored entirely, because its higher draw outlives its cheaper servers. Read the lifecycle, not this row. See D-20260921-06.</t>
  </si>
  <si>
    <t xml:space="preserve">Facility capex sizes the building once. The compute can ramp; the electrical service cannot, so a pilot that later grows pays a second outage and a 40-to-65-week transformer lead time.</t>
  </si>
  <si>
    <t xml:space="preserve">Measure</t>
  </si>
  <si>
    <t xml:space="preserve">liquid-base</t>
  </si>
  <si>
    <t xml:space="preserve">liquid-pilot</t>
  </si>
  <si>
    <t xml:space="preserve">air-pilot</t>
  </si>
  <si>
    <t xml:space="preserve">air-base</t>
  </si>
  <si>
    <t xml:space="preserve">THE CONFIGURATION</t>
  </si>
  <si>
    <t xml:space="preserve">Cooling</t>
  </si>
  <si>
    <t xml:space="preserve">liquid</t>
  </si>
  <si>
    <t xml:space="preserve">air</t>
  </si>
  <si>
    <t xml:space="preserve">Servers at launch / by year 4</t>
  </si>
  <si>
    <t xml:space="preserve">8 / 12</t>
  </si>
  <si>
    <t xml:space="preserve">1 / 2</t>
  </si>
  <si>
    <t xml:space="preserve">GPUs at launch / by year 4</t>
  </si>
  <si>
    <t xml:space="preserve">64 / 96</t>
  </si>
  <si>
    <t xml:space="preserve">8 / 16</t>
  </si>
  <si>
    <t xml:space="preserve">Host watts per server</t>
  </si>
  <si>
    <t xml:space="preserve">Cold-plate kit per server</t>
  </si>
  <si>
    <t xml:space="preserve">Peak IT load, nameplate kW</t>
  </si>
  <si>
    <t xml:space="preserve">THE FACILITY (sized to this fleet)</t>
  </si>
  <si>
    <t xml:space="preserve">Electrical service and distribution</t>
  </si>
  <si>
    <t xml:space="preserve">Backup power</t>
  </si>
  <si>
    <t xml:space="preserve">Cooling plant (as modelled)</t>
  </si>
  <si>
    <t xml:space="preserve">Cooling redundancy</t>
  </si>
  <si>
    <t xml:space="preserve">N+1</t>
  </si>
  <si>
    <t xml:space="preserve">Power redundancy</t>
  </si>
  <si>
    <t xml:space="preserve">N (single path)</t>
  </si>
  <si>
    <t xml:space="preserve">Cross-check only: flat $5,800/kW (wrong at both ends)</t>
  </si>
  <si>
    <t xml:space="preserve">Facility capex, total</t>
  </si>
  <si>
    <t xml:space="preserve">Heat-recovery incentive</t>
  </si>
  <si>
    <t xml:space="preserve">Heating oil displaced a year</t>
  </si>
  <si>
    <t xml:space="preserve">Facility charge per kW, grant-funded</t>
  </si>
  <si>
    <t xml:space="preserve">Facility charge per kW, financed</t>
  </si>
  <si>
    <t xml:space="preserve">THE COMPUTE (billed the charge above)</t>
  </si>
  <si>
    <t xml:space="preserve">Amount financed (the compute ask)</t>
  </si>
  <si>
    <t xml:space="preserve">Annual loan payment</t>
  </si>
  <si>
    <t xml:space="preserve">Lowest year-end cash after loan</t>
  </si>
  <si>
    <t xml:space="preserve">Revenue per $1 of cost</t>
  </si>
  <si>
    <t xml:space="preserve">Cumulative cash, year 5</t>
  </si>
  <si>
    <t xml:space="preserve">Seats served / planned, Y5</t>
  </si>
  <si>
    <t xml:space="preserve">3,500 / 3,500</t>
  </si>
  <si>
    <t xml:space="preserve">THE COMBINED ASK</t>
  </si>
  <si>
    <t xml:space="preserve">Compute financing plus facility capex</t>
  </si>
  <si>
    <t xml:space="preserve">FINANCING: LAUNCH HARDWARE AND WORKING CAPITAL</t>
  </si>
  <si>
    <t xml:space="preserve">Fletcher, 2026-09-18: finance the launch hardware plus working capital equal to the cash low point and a cushion.</t>
  </si>
  <si>
    <t xml:space="preserve">A. INPUTS</t>
  </si>
  <si>
    <t xml:space="preserve">Loan interest rate (assumes a guarantee; see note)</t>
  </si>
  <si>
    <t xml:space="preserve">Assumes a loan guarantee is available: the loan is backed by a guarantee from a nonprofit with a strong balance sheet, a possibility raised with the first prospective investor. 8.5% from 2026-10-02 (D-20261002-03), up from 7.5%. Without a guarantee, expect prime plus 2 to 3 points or more (FAME starts at prime plus 2; SBA loans ran 10-12% in September 2026). The financial summary shows the plan at 10% and 12%.</t>
  </si>
  <si>
    <t xml:space="preserve">[ESTIMATE] Same rate as the financed facility case.</t>
  </si>
  <si>
    <t xml:space="preserve">Loan term, years (level annual payments, end of years 0 to term-1)</t>
  </si>
  <si>
    <t xml:space="preserve">[ESTIMATE] Equipment loan matched to a 5-7 year hardware life.</t>
  </si>
  <si>
    <t xml:space="preserve">Working-capital cushion</t>
  </si>
  <si>
    <t xml:space="preserve">Fletcher, 2026-09-18; raised from $200,000 on 2026-09-22 (D-20260922-05). The floor for cash at every month-end of year 0 and every year-end after.</t>
  </si>
  <si>
    <t xml:space="preserve">B. AMOUNT FINANCED</t>
  </si>
  <si>
    <t xml:space="preserve">Launch hardware (year-0 capex)</t>
  </si>
  <si>
    <t xml:space="preserve">Launch-ramp need beyond the hardware (month by month, loan payments included)</t>
  </si>
  <si>
    <t xml:space="preserve">What the ramp consumes before customers pay in full, from LaunchYearMonthly. Replaces the annual cash low point, which already netted the hardware and so counted it twice (D-20260922-05).</t>
  </si>
  <si>
    <t xml:space="preserve">Working capital (ramp need + cushion)</t>
  </si>
  <si>
    <t xml:space="preserve">TOTAL AMOUNT FINANCED</t>
  </si>
  <si>
    <t xml:space="preserve">The smallest loan that keeps cash at or above the cushion at every month-end of year 0 (LaunchYearMonthly row 23) and every year-end (row 29). Solved directly: the payment is proportional to the loan.</t>
  </si>
  <si>
    <t xml:space="preserve">Annual payment</t>
  </si>
  <si>
    <t xml:space="preserve">Total interest over the term</t>
  </si>
  <si>
    <t xml:space="preserve">Annual payment per $1 borrowed</t>
  </si>
  <si>
    <t xml:space="preserve">C. CASH FLOW WITH FINANCING</t>
  </si>
  <si>
    <t xml:space="preserve">Net cash before financing (class sheet row 96)</t>
  </si>
  <si>
    <t xml:space="preserve">Loan payment</t>
  </si>
  <si>
    <t xml:space="preserve">of which interest</t>
  </si>
  <si>
    <t xml:space="preserve">NET CASH AFTER FINANCING</t>
  </si>
  <si>
    <t xml:space="preserve">Loan balance, end of year</t>
  </si>
  <si>
    <t xml:space="preserve">CUMULATIVE CASH AFTER FINANCING</t>
  </si>
  <si>
    <t xml:space="preserve">Lowest cash after financing (end of year)</t>
  </si>
  <si>
    <t xml:space="preserve">Cash on hand on day one, after buying launch hardware</t>
  </si>
  <si>
    <t xml:space="preserve">D. SIZING THE ASK (D-20260922-05)</t>
  </si>
  <si>
    <t xml:space="preserve">Loan that holds this year-end at the cushion (0 where the year cannot bind)</t>
  </si>
  <si>
    <t xml:space="preserve">Lowest cash after financing, month-end of year 0 or any year-end (the cushion when the ask is right)</t>
  </si>
  <si>
    <t xml:space="preserve">LAUNCH YEAR, MONTH BY MONTH: DOES THE WORKING CAPITAL COVER THE RAMP?</t>
  </si>
  <si>
    <t xml:space="preserve">The rest of this workbook is annual, so year 0 nets a full year of revenue against the launch hardware as if customers paid from day one. This sheet spreads year 0 over twelve months with a delayed start, a ramp, and a collection lag, using the year-0 run rate from Class_NVIDIA_Datacenter.</t>
  </si>
  <si>
    <t xml:space="preserve">Formulas, not values: change a yellow timing input and the sheet follows. The defaults are proposals (D-20260922-04) for Fletcher and Tom to correct. Financing sizes the ask from row 23 (D-20260922-05), so these inputs move the ask.</t>
  </si>
  <si>
    <t xml:space="preserve">TIMING INPUTS</t>
  </si>
  <si>
    <t xml:space="preserve">Months from the start of year 0 to first revenue (delivery and commissioning)</t>
  </si>
  <si>
    <t xml:space="preserve">Months from first revenue to the full run rate</t>
  </si>
  <si>
    <t xml:space="preserve">Collection lag, months (net 30, paid on average at 45 days)</t>
  </si>
  <si>
    <t xml:space="preserve">Share of operating cost that follows revenue (power, direct service cost)</t>
  </si>
  <si>
    <t xml:space="preserve">Month the launch hardware is paid</t>
  </si>
  <si>
    <t xml:space="preserve">Month</t>
  </si>
  <si>
    <t xml:space="preserve">Revenue weight (0 before first revenue, rising to 1)</t>
  </si>
  <si>
    <t xml:space="preserve">Revenue billed</t>
  </si>
  <si>
    <t xml:space="preserve">Cash collected</t>
  </si>
  <si>
    <t xml:space="preserve">Launch hardware</t>
  </si>
  <si>
    <t xml:space="preserve">Cumulative before financing</t>
  </si>
  <si>
    <t xml:space="preserve">Loan payments (the annual payment, monthly)</t>
  </si>
  <si>
    <t xml:space="preserve">Cumulative cash after financing</t>
  </si>
  <si>
    <t xml:space="preserve">Loan that holds this month-end at the cushion (Financing B7)</t>
  </si>
  <si>
    <t xml:space="preserve">WHAT IT SAYS</t>
  </si>
  <si>
    <t xml:space="preserve">Deepest cash need before financing, month by month</t>
  </si>
  <si>
    <t xml:space="preserve">Annual cash low point, the basis of the ask before D-20260922-05</t>
  </si>
  <si>
    <t xml:space="preserve">Monthly need less annual low point (positive = the annual model understates it)</t>
  </si>
  <si>
    <t xml:space="preserve">Lowest month-end cash after financing (the ask holds it at the cushion, Financing B7)</t>
  </si>
  <si>
    <t xml:space="preserve">Year-0 revenue collected in year 0</t>
  </si>
  <si>
    <t xml:space="preserve">Year-0 revenue the annual model books</t>
  </si>
  <si>
    <t xml:space="preserve">Billed but not yet collected at year end</t>
  </si>
  <si>
    <t xml:space="preserve">Largest loan any month needs</t>
  </si>
  <si>
    <t xml:space="preserve">GENERATION AND SUPPLY COSTING  (standalone tool: enter any load, get the supply options)</t>
  </si>
  <si>
    <t xml:space="preserve">Decoupled from the class sheets. Enter a peak load below and this prices four supply cases plus the behind-the-meter array behind case 3.</t>
  </si>
  <si>
    <t xml:space="preserve">Scenario rates live on Inputs rows 69 to 72. This sheet computes the behind-the-meter LCOE feeding that block, and prices any load against all four.</t>
  </si>
  <si>
    <t xml:space="preserve">LOAD</t>
  </si>
  <si>
    <t xml:space="preserve">kW</t>
  </si>
  <si>
    <t xml:space="preserve">Manual input. Read a class sheet Peak load row for a real figure.</t>
  </si>
  <si>
    <t xml:space="preserve">Average facility load, kW</t>
  </si>
  <si>
    <t xml:space="preserve">Annual consumption, kWh</t>
  </si>
  <si>
    <t xml:space="preserve">kWh</t>
  </si>
  <si>
    <t xml:space="preserve">BEHIND-THE-METER GENERATION MATH (drives scenarios 3 and 4)</t>
  </si>
  <si>
    <t xml:space="preserve">Solar capacity factor, Maine</t>
  </si>
  <si>
    <t xml:space="preserve">Planning figure for fixed-tilt commercial PV in Maine. Confirm with a site-specific production estimate.</t>
  </si>
  <si>
    <t xml:space="preserve">Array size to offset the load annually</t>
  </si>
  <si>
    <t xml:space="preserve">kW DC</t>
  </si>
  <si>
    <t xml:space="preserve">Installed cost per watt</t>
  </si>
  <si>
    <t xml:space="preserve">Commercial-scale installed cost. Get quotes; varies widely with roof vs ground mount and interconnection.</t>
  </si>
  <si>
    <t xml:space="preserve">Gross array cost</t>
  </si>
  <si>
    <t xml:space="preserve">Efficiency Maine C&amp;I Custom support</t>
  </si>
  <si>
    <t xml:space="preserve">SET TO ZERO. Efficiency Maine distributed generation projects must show an operating efficiency of 60% or greater, a CHP threshold solar PV cannot meet, plus at least 36,000 kWh of annual REDUCTION. A new compute load reduces nothing. Eligibility is unverified and belongs on ConfirmFirst, not in the arithmetic.</t>
  </si>
  <si>
    <t xml:space="preserve">USDA REAP grant share</t>
  </si>
  <si>
    <t xml:space="preserve">SET TO ZERO. Grant awards paused as of 31 Mar 2026 pending new regulations. On ConfirmFirst.</t>
  </si>
  <si>
    <t xml:space="preserve">Combined support (capped at 100%)</t>
  </si>
  <si>
    <t xml:space="preserve">Stacking state and federal support is not automatic. REAP caps total federal grant share; confirm state and federal stacking before assuming it.</t>
  </si>
  <si>
    <t xml:space="preserve">Net array cost after support</t>
  </si>
  <si>
    <t xml:space="preserve">Analysis life</t>
  </si>
  <si>
    <t xml:space="preserve">Average lifetime output factor (degradation)</t>
  </si>
  <si>
    <t xml:space="preserve">Lifetime generation</t>
  </si>
  <si>
    <t xml:space="preserve">O&amp;M and insurance adder</t>
  </si>
  <si>
    <t xml:space="preserve">USD/kWh</t>
  </si>
  <si>
    <t xml:space="preserve">LCOE, unsubsidized</t>
  </si>
  <si>
    <t xml:space="preserve">LCOE if program support were available (NOT USED)</t>
  </si>
  <si>
    <t xml:space="preserve">Retained for reference only. No scenario references this cell.</t>
  </si>
  <si>
    <t xml:space="preserve">SCENARIO TABLE</t>
  </si>
  <si>
    <t xml:space="preserve">#</t>
  </si>
  <si>
    <t xml:space="preserve">Scenario</t>
  </si>
  <si>
    <t xml:space="preserve">Effective $/kWh</t>
  </si>
  <si>
    <t xml:space="preserve">Annual cost</t>
  </si>
  <si>
    <t xml:space="preserve">What it assumes</t>
  </si>
  <si>
    <t xml:space="preserve">Maine grid, standard commercial</t>
  </si>
  <si>
    <t xml:space="preserve">Statewide commercial average 23.27c/kWh. The default and the hardest case.</t>
  </si>
  <si>
    <t xml:space="preserve">Negotiated competitive supply</t>
  </si>
  <si>
    <t xml:space="preserve">A fixed supply contract in place of standard offer. Removes winter volatility.</t>
  </si>
  <si>
    <t xml:space="preserve">Behind-the-meter generation, unsubsidized</t>
  </si>
  <si>
    <t xml:space="preserve">Own array levelized over its life. NO program support assumed.</t>
  </si>
  <si>
    <t xml:space="preserve">Host-bundled, surplus or curtailed</t>
  </si>
  <si>
    <t xml:space="preserve">Power provided as part of a hosting arrangement, or generation that would otherwise expire unused under net energy billing. The largest lever available and it needs no grant.</t>
  </si>
  <si>
    <t xml:space="preserve">SELECTED SCENARIO (1 to 4)</t>
  </si>
  <si>
    <t xml:space="preserve">ACTIVE SCENARIO RATE</t>
  </si>
  <si>
    <t xml:space="preserve">ACTIVE ANNUAL ELECTRICITY COST</t>
  </si>
  <si>
    <t xml:space="preserve">NOTES AND CAUTIONS</t>
  </si>
  <si>
    <t xml:space="preserve">Array capex versus fleet capex. Sized to offset a 24/7 load at a Maine capacity factor, the array costs several times the consumer-grade fleet itself.</t>
  </si>
  <si>
    <t xml:space="preserve">Do not build an array to power the fleet. The sound framing is the reverse: a compute load is a high-value off-taker for generation that already</t>
  </si>
  <si>
    <t xml:space="preserve">exists or is being built anyway, and it converts surplus generation into revenue instead of expiring credits.</t>
  </si>
  <si>
    <t xml:space="preserve">Net energy billing matters here. Maine NEB credits roll forward but expire after 12 months with no cash payout, so surplus beyond a site's own</t>
  </si>
  <si>
    <t xml:space="preserve">annual consumption is worth nothing. A continuous compute load is the natural consumer of exactly that surplus, which is what makes scenario 5 real</t>
  </si>
  <si>
    <t xml:space="preserve">rather than wishful. Where an export credit IS available, self-consumed power costs its foregone credit value, not zero.</t>
  </si>
  <si>
    <t xml:space="preserve">Interruptibility is the consumer tier's structural advantage and its constraint. Marketplace and interruptible-tier listings tolerate curtailment;</t>
  </si>
  <si>
    <t xml:space="preserve">contracted capacity under an SLA does not. Match interruptible supply to interruptible demand and keep contracted hosts on firm power.</t>
  </si>
  <si>
    <t xml:space="preserve">Program status as of July 2026: Efficiency Maine C&amp;I Custom is open. USDA REAP grant awards are paused pending new regulations; loans continue.</t>
  </si>
  <si>
    <t xml:space="preserve">Both are modeled as inputs so the reader can re-run when status changes rather than relying on a number baked into prose.</t>
  </si>
  <si>
    <t xml:space="preserve">KNOWN UNKNOWNS AND MISSING VARIABLES</t>
  </si>
  <si>
    <t xml:space="preserve">Every row is a number asserted without a firm source. Resolve severe and high rows before committing capital.</t>
  </si>
  <si>
    <t xml:space="preserve">Variable</t>
  </si>
  <si>
    <t xml:space="preserve">Base assumption</t>
  </si>
  <si>
    <t xml:space="preserve">Plausible range</t>
  </si>
  <si>
    <t xml:space="preserve">Impact</t>
  </si>
  <si>
    <t xml:space="preserve">How to resolve</t>
  </si>
  <si>
    <t xml:space="preserve">0</t>
  </si>
  <si>
    <t xml:space="preserve">Unit of sale</t>
  </si>
  <si>
    <t xml:space="preserve">8-GPU node / 8-card host</t>
  </si>
  <si>
    <t xml:space="preserve">Fraction of a machine, several machines, or a governed share of pooled capacity</t>
  </si>
  <si>
    <t xml:space="preserve">SEVERE</t>
  </si>
  <si>
    <t xml:space="preserve">Convention introduced for modeling, not derived from demand. Resolve by sizing one measured customer workload. If the answer is a fraction or a share, the model needs restructuring rather than retuning.</t>
  </si>
  <si>
    <t xml:space="preserve">Used datacenter-grade GPU acquisition cost</t>
  </si>
  <si>
    <t xml:space="preserve">$18,000 per GPU</t>
  </si>
  <si>
    <t xml:space="preserve">$12,000 to $25,000+</t>
  </si>
  <si>
    <t xml:space="preserve">Written quotes for whole tested nodes. Sources conflict; drives capex and failure reserve together.</t>
  </si>
  <si>
    <t xml:space="preserve">RunPod host-side revenue split</t>
  </si>
  <si>
    <t xml:space="preserve">12% platform fee</t>
  </si>
  <si>
    <t xml:space="preserve">Unpublished</t>
  </si>
  <si>
    <t xml:space="preserve">HIGH</t>
  </si>
  <si>
    <t xml:space="preserve">Obtain the Community Cloud host agreement in writing before listing.</t>
  </si>
  <si>
    <t xml:space="preserve">Direction of committed-capacity rates</t>
  </si>
  <si>
    <t xml:space="preserve">15% downward repricing per renewal</t>
  </si>
  <si>
    <t xml:space="preserve">Reserved H100 rates ROSE ~40% Oct 2025 to Mar 2026</t>
  </si>
  <si>
    <t xml:space="preserve">Largest single lever. Track the Ornn and Silicon Data indices monthly.</t>
  </si>
  <si>
    <t xml:space="preserve">Maine electricity rate and tariff class</t>
  </si>
  <si>
    <t xml:space="preserve">$0.22/kWh all-in</t>
  </si>
  <si>
    <t xml:space="preserve">$0.15 to $0.30</t>
  </si>
  <si>
    <t xml:space="preserve">MEDIUM</t>
  </si>
  <si>
    <t xml:space="preserve">Confirm medium vs large general service, demand charges, and whether fixed competitive supply beats standard offer.</t>
  </si>
  <si>
    <t xml:space="preserve">Partner pipeline and close rate</t>
  </si>
  <si>
    <t xml:space="preserve">Contracts in place at purchase</t>
  </si>
  <si>
    <t xml:space="preserve">Zero to full</t>
  </si>
  <si>
    <t xml:space="preserve">The purchase gate for datacenter-grade hardware. Signed take-or-pay, not letters of intent.</t>
  </si>
  <si>
    <t xml:space="preserve">Insurance premiums</t>
  </si>
  <si>
    <t xml:space="preserve">Hardware cover at 1.2% of value (Inputs B17), an $8,000 base (B53), and managed-services E&amp;O at 1% of revenue (B50, D-20260928-07).</t>
  </si>
  <si>
    <t xml:space="preserve">Wide</t>
  </si>
  <si>
    <t xml:space="preserve">Broker quotes with 24/7 commercial duty disclosed.</t>
  </si>
  <si>
    <t xml:space="preserve">Facility: lease vs colocation</t>
  </si>
  <si>
    <t xml:space="preserve">Lease plus metered power</t>
  </si>
  <si>
    <t xml:space="preserve">Colo at $150-$400/kW/month is power-inclusive</t>
  </si>
  <si>
    <t xml:space="preserve">Price both; do not double count against the Power sheet.</t>
  </si>
  <si>
    <t xml:space="preserve">Interconnect requirement</t>
  </si>
  <si>
    <t xml:space="preserve">No InfiniBand fabric</t>
  </si>
  <si>
    <t xml:space="preserve">Multi-node training adds $30k-$80k</t>
  </si>
  <si>
    <t xml:space="preserve">Ask partners whether jobs span nodes before ordering.</t>
  </si>
  <si>
    <t xml:space="preserve">consumer-grade hardware power scenario achievability</t>
  </si>
  <si>
    <t xml:space="preserve">Scenario 1 (grid) as default</t>
  </si>
  <si>
    <t xml:space="preserve">Scenarios 2 to 5 all plausible with effort</t>
  </si>
  <si>
    <t xml:space="preserve">The single biggest consumer-grade hardware lever. Site survey, supply contract quotes, and a generation owner willing to sell or bundle surplus.</t>
  </si>
  <si>
    <t xml:space="preserve">Efficiency Maine C&amp;I Custom award</t>
  </si>
  <si>
    <t xml:space="preserve">50% of project cost modeled</t>
  </si>
  <si>
    <t xml:space="preserve">$10,000 min to $1,000,000 max per customer per year, up to 50%</t>
  </si>
  <si>
    <t xml:space="preserve">Program covers distributed generation explicitly. Pre-application conversation; award is discretionary and cost-effectiveness tested.</t>
  </si>
  <si>
    <t xml:space="preserve">USDA REAP availability</t>
  </si>
  <si>
    <t xml:space="preserve">Modeled at 0%</t>
  </si>
  <si>
    <t xml:space="preserve">Historically 25% Farm Bill to 50% IRA; $2,500 min, $1,000,000 max</t>
  </si>
  <si>
    <t xml:space="preserve">GRANTS PAUSED as of 31 Mar 2026 pending new regulations; loans continue. Prepare the file, watch for the next notice, do not budget on it.</t>
  </si>
  <si>
    <t xml:space="preserve">Stacking state and federal energy support</t>
  </si>
  <si>
    <t xml:space="preserve">Capped at 100% in the model</t>
  </si>
  <si>
    <t xml:space="preserve">REAP caps total federal grant share; state and federal stacking not automatic</t>
  </si>
  <si>
    <t xml:space="preserve">Confirm with Efficiency Maine and USDA Rural Development before assuming both.</t>
  </si>
  <si>
    <t xml:space="preserve">Solar capacity factor and installed cost</t>
  </si>
  <si>
    <t xml:space="preserve">14.5% CF, $2.20/W</t>
  </si>
  <si>
    <t xml:space="preserve">CF 13-16%; cost $1.80-$3.00/W</t>
  </si>
  <si>
    <t xml:space="preserve">Site-specific production estimate and installer quotes. Roof versus ground mount and interconnection drive the spread.</t>
  </si>
  <si>
    <t xml:space="preserve">Net energy billing treatment</t>
  </si>
  <si>
    <t xml:space="preserve">Surplus assumed worth zero at scenario 5</t>
  </si>
  <si>
    <t xml:space="preserve">Credits roll forward but expire after 12 months with no cash payout</t>
  </si>
  <si>
    <t xml:space="preserve">If an export credit is realizable, self-consumed power costs its foregone credit, not zero.</t>
  </si>
  <si>
    <t xml:space="preserve">Entity tax position</t>
  </si>
  <si>
    <t xml:space="preserve">Profitable; 30% marginal rate</t>
  </si>
  <si>
    <t xml:space="preserve">Loss position gets timing value only</t>
  </si>
  <si>
    <t xml:space="preserve">CPA, including Maine conformity to federal bonus depreciation.</t>
  </si>
  <si>
    <t xml:space="preserve">SOC 2 or equivalent compliance</t>
  </si>
  <si>
    <t xml:space="preserve">Carried as an estimate: $30,000 a year from year 0 (Inputs B51, D-20260928-07). Staff time excluded.</t>
  </si>
  <si>
    <t xml:space="preserve">$20k-$60k first year</t>
  </si>
  <si>
    <t xml:space="preserve">Replace with an auditor's quote once the scope (Type I or II, which services) is known.</t>
  </si>
  <si>
    <t xml:space="preserve">Marketplace utilization ramp</t>
  </si>
  <si>
    <t xml:space="preserve">30% / 50% / 50%</t>
  </si>
  <si>
    <t xml:space="preserve">15% to 60%</t>
  </si>
  <si>
    <t xml:space="preserve">No published new-host curve exists. Matters more to consumer-grade hardware, which is marketplace-weighted.</t>
  </si>
  <si>
    <t xml:space="preserve">On-call coverage</t>
  </si>
  <si>
    <t xml:space="preserve">Assumed available</t>
  </si>
  <si>
    <t xml:space="preserve">Lean posture is not 24/7 answerability</t>
  </si>
  <si>
    <t xml:space="preserve">Name a backup in writing before signing any SLA.</t>
  </si>
  <si>
    <t xml:space="preserve">Take-or-pay enforceability and partner credit</t>
  </si>
  <si>
    <t xml:space="preserve">Assumed collectible</t>
  </si>
  <si>
    <t xml:space="preserve">Default converts a unit to spot</t>
  </si>
  <si>
    <t xml:space="preserve">Credit diligence proportional to commitment; prepay or quarterly billing.</t>
  </si>
  <si>
    <t xml:space="preserve">Residual value at year 3</t>
  </si>
  <si>
    <t xml:space="preserve">Modeled at zero</t>
  </si>
  <si>
    <t xml:space="preserve">10-25% of basis, or near zero</t>
  </si>
  <si>
    <t xml:space="preserve">Upside not counted. Track secondary comps at month 24.</t>
  </si>
  <si>
    <t xml:space="preserve">Alternative accelerator acquisition at distressed prices</t>
  </si>
  <si>
    <t xml:space="preserve">Not modelled</t>
  </si>
  <si>
    <t xml:space="preserve">Gaudi 2/3 discontinued after Gaudi 3; illiquid markets favour buyers</t>
  </si>
  <si>
    <t xml:space="preserve">Illiquid market favours a buyer. Resale is ~10% of capital recovery, so accepting zero resale for a deep discount is cheap. Real blockers: software porting, vendor lifecycle on a discontinued line, no marketplace backfill. Price a distressed Gaudi purchase.</t>
  </si>
  <si>
    <t xml:space="preserve">Apple unified memory as a capacity path</t>
  </si>
  <si>
    <t xml:space="preserve">Now a row in ProForma_ConsumerGrade</t>
  </si>
  <si>
    <t xml:space="preserve">Rate and marketplace access are guesses</t>
  </si>
  <si>
    <t xml:space="preserve">2,695 MB per watt against 114 for an H100, and measured under 200W running a 671B model. Unverified: what a dedicated Mac actually rents for, whether macOS EULA two-VM cap blocks the intended use, rack density, and absence of an enterprise support tier.</t>
  </si>
  <si>
    <t xml:space="preserve">FPGA as a low-power inference path</t>
  </si>
  <si>
    <t xml:space="preserve">6x to 14x energy efficiency documented</t>
  </si>
  <si>
    <t xml:space="preserve">Wins on fixed models at batch one, which is what dedicated single-tenant sells. Constrained by 460 GB/s bandwidth, so model size is capped. Bitstream regeneration cost is near zero for validated deployments and fatal for churning ones. No marketplace backfill at all.</t>
  </si>
  <si>
    <t xml:space="preserve">CPU inference for small-model workloads</t>
  </si>
  <si>
    <t xml:space="preserve">Not modelled at all</t>
  </si>
  <si>
    <t xml:space="preserve">Could serve several personas outright</t>
  </si>
  <si>
    <t xml:space="preserve">RAG, embeddings and document processing on modern server CPUs with AMX may be adequate for the regional enterprise persona. The model assumes every workload needs an accelerator and quietly oversells those customers.</t>
  </si>
  <si>
    <t xml:space="preserve">Heterogeneous GPU-FPGA splitting</t>
  </si>
  <si>
    <t xml:space="preserve">Prefill on GPU, decode on FPGA is an active research pattern</t>
  </si>
  <si>
    <t xml:space="preserve">Several 2026 papers describe splitting LLM inference across GPU and FPGA. Would change the hardware mix rather than choosing between classes.</t>
  </si>
  <si>
    <t xml:space="preserve">NVIDIA Inception eligibility</t>
  </si>
  <si>
    <t xml:space="preserve">Not assumed. List pricing used throughout.</t>
  </si>
  <si>
    <t xml:space="preserve">Published exclusions name cloud service providers</t>
  </si>
  <si>
    <t xml:space="preserve">LOW</t>
  </si>
  <si>
    <t xml:space="preserve">Free startup programme giving 75% off AI Enterprise. General criteria are easy: one developer, a website, incorporated, under ten years old. But the published exclusion list names cloud service providers, alongside consulting firms, crypto, resellers and public companies. Renting capacity is a cloud service, so on a plain reading this is excluded.</t>
  </si>
  <si>
    <t xml:space="preserve">NVAIE bundled subscription transfer on resale</t>
  </si>
  <si>
    <t xml:space="preserve">Assumed zero years remaining</t>
  </si>
  <si>
    <t xml:space="preserve">0 to 5 years</t>
  </si>
  <si>
    <t xml:space="preserve">SXM boards carry none. PCIe and NVL include five years from ship date plus 90 days, non-resettable. Whether it transfers to a second owner is not stated anywhere I could find. Ask NVIDIA before purchase.</t>
  </si>
  <si>
    <t xml:space="preserve">Generational rate persistence</t>
  </si>
  <si>
    <t xml:space="preserve">100% assumed</t>
  </si>
  <si>
    <t xml:space="preserve">A ten-point move flips the six-year sign</t>
  </si>
  <si>
    <t xml:space="preserve">Whether each new generation enters at the same nominal rate as the last. Drives the entire six-year model and has no external evidence behind it.</t>
  </si>
  <si>
    <t xml:space="preserve">Orchestration stack maintenance burden</t>
  </si>
  <si>
    <t xml:space="preserve">Not costed</t>
  </si>
  <si>
    <t xml:space="preserve">Roughly half an FTE</t>
  </si>
  <si>
    <t xml:space="preserve">Who patches the kernel, driver, container runtime and Kubernetes matrix. The open-source stack is free to acquire and not free to run. Breaks the lean staffing assumption.</t>
  </si>
  <si>
    <t xml:space="preserve">RunPod and Vast host agent compatibility</t>
  </si>
  <si>
    <t xml:space="preserve">Assumed stable</t>
  </si>
  <si>
    <t xml:space="preserve">Platforms control the agent</t>
  </si>
  <si>
    <t xml:space="preserve">Both run agents on our machines and can change requirements without notice. Contracted and marketplace machines may need separate operational models.</t>
  </si>
  <si>
    <t xml:space="preserve">Distributed topology cost</t>
  </si>
  <si>
    <t xml:space="preserve">Network $144k-$480k/yr at 40 sites</t>
  </si>
  <si>
    <t xml:space="preserve">Per-site network, ship-and-swap logistics, spare float, per-site cooling, site agreements, insurance across locations. None of it is anywhere in this workbook.</t>
  </si>
  <si>
    <t xml:space="preserve">Duty factor and PUE</t>
  </si>
  <si>
    <t xml:space="preserve">70% and 1.35 assumed</t>
  </si>
  <si>
    <t xml:space="preserve">Both unmeasured</t>
  </si>
  <si>
    <t xml:space="preserve">Drive the electricity line directly.</t>
  </si>
  <si>
    <t xml:space="preserve">Sales effort per customer</t>
  </si>
  <si>
    <t xml:space="preserve">80/40/6/60 hours by class</t>
  </si>
  <si>
    <t xml:space="preserve">Could be half or double any of these</t>
  </si>
  <si>
    <t xml:space="preserve">The single largest swing found so far. Setting this uniformly at 80 hours moved the Apple path by $9.8M over six years, five times the capital deployed. Hours are now scaled to deal size but none is measured. Resolve by logging actual hours on the first three deals.</t>
  </si>
  <si>
    <t xml:space="preserve">Support effort per customer per month</t>
  </si>
  <si>
    <t xml:space="preserve">4/2/0.5/3 hours by class</t>
  </si>
  <si>
    <t xml:space="preserve">Unmeasured</t>
  </si>
  <si>
    <t xml:space="preserve">At 3 hours a month a $1,200/mo customer consumes 19 percent of their own revenue in support. Scaled to deal size but not observed.</t>
  </si>
  <si>
    <t xml:space="preserve">1.25/2.5/1.0/2.5 by class</t>
  </si>
  <si>
    <t xml:space="preserve">1 to 5</t>
  </si>
  <si>
    <t xml:space="preserve">Drives the customer count, which drives sales, support and admin. Apple at 1.0 produces 221 customers from $2M of hardware. Whether one buyer takes one Mac or five is unknown and changes the sales organisation required.</t>
  </si>
  <si>
    <t xml:space="preserve">FPGA per-model porting cost</t>
  </si>
  <si>
    <t xml:space="preserve">Zero in opex</t>
  </si>
  <si>
    <t xml:space="preserve">Days to months of engineering per model</t>
  </si>
  <si>
    <t xml:space="preserve">Non-recurring engineering, once per customer, normally billable. Held at zero in opex on that basis. Days to months depending on operator support.</t>
  </si>
  <si>
    <t xml:space="preserve">0.65 for all classes</t>
  </si>
  <si>
    <t xml:space="preserve">0.4 to 0.9</t>
  </si>
  <si>
    <t xml:space="preserve">Average draw as share of peak. Drives electricity directly. Unified across classes; earlier per-class spread had no basis. Measure once running.</t>
  </si>
  <si>
    <t xml:space="preserve">1.25 for all classes</t>
  </si>
  <si>
    <t xml:space="preserve">1.1 to 1.5</t>
  </si>
  <si>
    <t xml:space="preserve">Power Usage Effectiveness. Unified across classes; denser racks plausibly cost more to cool but nothing here measures it.</t>
  </si>
  <si>
    <t xml:space="preserve">Facility cost per kW</t>
  </si>
  <si>
    <t xml:space="preserve">$400 for all classes</t>
  </si>
  <si>
    <t xml:space="preserve">$150 to $600</t>
  </si>
  <si>
    <t xml:space="preserve">Rent plus cooling plant amortization plus maintenance. Unified because a kilowatt of heat costs the same to remove whatever produced it. No lease or colocation quote obtained for any class.</t>
  </si>
  <si>
    <t xml:space="preserve">Apple demand at scale</t>
  </si>
  <si>
    <t xml:space="preserve">221 customers assumed</t>
  </si>
  <si>
    <t xml:space="preserve">Unknown</t>
  </si>
  <si>
    <t xml:space="preserve">$2M of Mac Studios buys 87 terabytes of memory, ten times what $2M of H100s buys, but as 245 boxes that cannot be pooled at one tenant each. The customer count is a property of hardware granularity. Whether 221 such buyers exist in reach is not validated anywhere.</t>
  </si>
  <si>
    <t xml:space="preserve">Apple ECC</t>
  </si>
  <si>
    <t xml:space="preserve">Assumed absent</t>
  </si>
  <si>
    <t xml:space="preserve">yes or no</t>
  </si>
  <si>
    <t xml:space="preserve">If Apple Silicon lacks error-correcting memory it is disqualified from regulated work for the same reason consumer GPUs are. Asserted from general knowledge, not verified against a source.</t>
  </si>
  <si>
    <t xml:space="preserve">FPGA generation roadmap and current part capability</t>
  </si>
  <si>
    <t xml:space="preserve">Three Alveo-class rows: 16GB HBM, 64GB DDR, placeholder</t>
  </si>
  <si>
    <t xml:space="preserve">Versal, Kintex and Agilex-class parts carry substantially more memory and, in the Versal case, hardened AI Engines alongside the fabric</t>
  </si>
  <si>
    <t xml:space="preserve">Rows were built from hyperscaler rental hardware, not what a buyer can purchase. Needs real successor parts: family, intro year, modules per host, usable memory and type, watts, used cost, defensible rate.</t>
  </si>
  <si>
    <t xml:space="preserve">Whether an unlicensed NVIDIA stack is workable at this scale</t>
  </si>
  <si>
    <t xml:space="preserve">Licence currently ON at list, $2,232,000 over six years</t>
  </si>
  <si>
    <t xml:space="preserve">Somewhere between fully workable and not workable</t>
  </si>
  <si>
    <t xml:space="preserve">With licence: supported integrated stack, vendor support, closest to plug-and-play. Without: assemble and maintain it yourself. Does not gate ECC or compliance. Untested at this scale.</t>
  </si>
  <si>
    <t xml:space="preserve">FPGA contract pricing to customers, and whether per-month is the right structure</t>
  </si>
  <si>
    <t xml:space="preserve">Memory-matched to consumer GPU tiers at ~$15/GB</t>
  </si>
  <si>
    <t xml:space="preserve">Unknown; could be half or triple</t>
  </si>
  <si>
    <t xml:space="preserve">No comparable exists. Two questions: what a month of capacity is worth, and whether per-month is the right unit at all given what is sold is closer to a working accelerated service.</t>
  </si>
  <si>
    <t xml:space="preserve">Board-vendor quotes: BittWare, Altera, Achronix</t>
  </si>
  <si>
    <t xml:space="preserve">Not in the model</t>
  </si>
  <si>
    <t xml:space="preserve">PHONE CALL. Altera Agilex 7 and Achronix Speedster7t publish no pricing; BittWare is the channel for all three vendors. Ask: price at 1/10/50 units, lead time, refurb stock, power under sustained load.</t>
  </si>
  <si>
    <t xml:space="preserve">Altera prefill/decode split</t>
  </si>
  <si>
    <t xml:space="preserve">Could change the class from alternative to companion</t>
  </si>
  <si>
    <t xml:space="preserve">Altera markets Agilex 7 for memory-bound decode while GPUs handle compute-bound prefill. If it holds, FPGA is a companion that cuts GPU count, not a fifth alternative. Ask for deployed examples.</t>
  </si>
  <si>
    <t xml:space="preserve">Versal and Kintex card options</t>
  </si>
  <si>
    <t xml:space="preserve">Single eBay listings, not a market. One U50 listed at $5,500 against AMD list of $2,965. Ask a refurbisher what quantity of U55C or U280 is sourceable, at what price, with what warranty.</t>
  </si>
  <si>
    <t xml:space="preserve">Used FPGA supply depth</t>
  </si>
  <si>
    <t xml:space="preserve">$3,950 U55C, $2,599 U280, $1,999 U200 open box</t>
  </si>
  <si>
    <t xml:space="preserve">Unknown at volume</t>
  </si>
  <si>
    <t xml:space="preserve">Those are single eBay listings, not a market. One U50 listing showed $5,500 against AMD list of $2,965, which is why grey-market data points need care. PHONE CALL to a refurbisher: what quantity of U55C or U280 could actually be sourced, at what price, with what warranty.</t>
  </si>
  <si>
    <t xml:space="preserve">FPGA behaviour at batch concurrency</t>
  </si>
  <si>
    <t xml:space="preserve">Priced on batch-1 benchmarks</t>
  </si>
  <si>
    <t xml:space="preserve">Advantage may hold, shrink, or reverse as batch grows</t>
  </si>
  <si>
    <t xml:space="preserve">Measure tokens/sec at batch 1, 8, 32 on one model, FPGA against GPU. Mechanism suggests batching should help an FPGA for the same reason it helps a GPU. Nobody has measured it.</t>
  </si>
  <si>
    <t xml:space="preserve">FPGA bitstream provisioning and model coverage</t>
  </si>
  <si>
    <t xml:space="preserve">Slower than GPU weight load, order of magnitude untested</t>
  </si>
  <si>
    <t xml:space="preserve">Bitstream compiles offline; loading a prebuilt one is provisioning, not a rebuild. Slower than a GPU loading weights. Matters for pooled capacity, not for dedicated. Measure it.</t>
  </si>
  <si>
    <t xml:space="preserve">Versal VHK158 throughput claim</t>
  </si>
  <si>
    <t xml:space="preserve">Priced as A100-equivalent</t>
  </si>
  <si>
    <t xml:space="preserve">Unverified on hardware</t>
  </si>
  <si>
    <t xml:space="preserve">The 1.2x-over-A100 figure driving the V80 row price is from a software simulation, per the FlightLLM project repository. Only the Alveo U280 results were measured on-board. Needs a hardware benchmark before this rate is trusted.</t>
  </si>
  <si>
    <t xml:space="preserve">OWN BENCHMARKING REQUIRED: FPGA batch scaling</t>
  </si>
  <si>
    <t xml:space="preserve">Not measured</t>
  </si>
  <si>
    <t xml:space="preserve">Untested</t>
  </si>
  <si>
    <t xml:space="preserve">Measure tokens/sec at batch 1, 8, 32 on one model, FPGA against GPU. All published FPGA results are batch 1 only.</t>
  </si>
  <si>
    <t xml:space="preserve">OWN BENCHMARKING REQUIRED: memory architecture on current parts</t>
  </si>
  <si>
    <t xml:space="preserve">Datasheet figures only</t>
  </si>
  <si>
    <t xml:space="preserve">Datasheet only: 460 GB/s U55C, 820 V80</t>
  </si>
  <si>
    <t xml:space="preserve">Measure effective weight-streaming rate, not nominal. Capacity is not the constraint; bandwidth is.</t>
  </si>
  <si>
    <t xml:space="preserve">OWN BENCHMARKING REQUIRED: model-size ceiling per part</t>
  </si>
  <si>
    <t xml:space="preserve">Not tested</t>
  </si>
  <si>
    <t xml:space="preserve">Which model sizes each part serves at a usable rate, at which quantisation.</t>
  </si>
  <si>
    <t xml:space="preserve">Residual value at retirement, all classes</t>
  </si>
  <si>
    <t xml:space="preserve">40% Apple, 20% datacenter, 15% consumer, 12% AMD, 5% FPGA</t>
  </si>
  <si>
    <t xml:space="preserve">Unsourced. Apple figure is an impression, not a quote.</t>
  </si>
  <si>
    <t xml:space="preserve">Currently DORMANT: retirement is set to 6 years in a 6-year model, so no class books any resale. All five inputs are live but multiply by zero. Model is more conservative than it looks; end-of-period fleet value is uncounted upside. Set retirement below 6 and these start driving results.</t>
  </si>
  <si>
    <t xml:space="preserve">Apple used market, both directions</t>
  </si>
  <si>
    <t xml:space="preserve">Bought new at retail; 40% residual assumed</t>
  </si>
  <si>
    <t xml:space="preserve">Thin used supply to buy; strong demand should mean good resale</t>
  </si>
  <si>
    <t xml:space="preserve">Two different markets. No used supply worth a discount, which is why the path is priced at retail. Same demand should mean better resale than other classes. Neither verified.</t>
  </si>
  <si>
    <t xml:space="preserve">Resale: whether a secondhand market exists at all, per class</t>
  </si>
  <si>
    <t xml:space="preserve">Assumed to exist for every class; residual percentages assigned</t>
  </si>
  <si>
    <t xml:space="preserve">From a deep liquid market for NVIDIA down to possibly none</t>
  </si>
  <si>
    <t xml:space="preserve">Prior question to the residual percentages. Selling used hardware requires a buyer, a channel and a price. Deep and documented for NVIDIA datacenter and consumer GPUs. Thin for AMD Instinct, since few were deployed. Illiquid for FPGA, and single eBay listings are not a market. Apple has demand but that same demand is why there is no discount buying. None verified: no channel identified, no quantity tested, no quote obtained for selling anything.</t>
  </si>
  <si>
    <t xml:space="preserve">Consolidated call list not yet assembled</t>
  </si>
  <si>
    <t xml:space="preserve">Questions scattered across this sheet and the prospectus</t>
  </si>
  <si>
    <t xml:space="preserve">n/a</t>
  </si>
  <si>
    <t xml:space="preserve">ACTION. Every open question needing an outside answer should be one list: who to call, what to ask, what a yes or no does to the model. Known targets: BittWare, Altera and Achronix for FPGA pricing and throughput; a refurbisher on used supply depth and quantity; RunPod on whether FPGA listings are possible and what a host actually receives; a compliance officer on whether unreportable error correction can satisfy an audit; a CPA; an insurance broker.</t>
  </si>
  <si>
    <t xml:space="preserve">Model migration as a separate business</t>
  </si>
  <si>
    <t xml:space="preserve">Taking a customer model and redeploying it efficiently onto reconfigurable hardware, priced on the saving delivered rather than the hours spent. Does not require owning the hardware, so it can be sold to operators running their own fleets. Needs a measured saving on a real customer model before it is anything more than an idea.</t>
  </si>
  <si>
    <t xml:space="preserve">Published-information gap on FPGA inference at load</t>
  </si>
  <si>
    <t xml:space="preserve">Observed, not acted on</t>
  </si>
  <si>
    <t xml:space="preserve">Almost nothing is published on serving language models at realistic request volumes on these parts, while the efficiency difference against GPUs is large. Noted here because the gap itself may be worth writing about, and because it is why the FPGA rows here rest on single-request benchmarks.</t>
  </si>
  <si>
    <t xml:space="preserve">The middle band: mixed model pool, slow turnover</t>
  </si>
  <si>
    <t xml:space="preserve">Where reconfigurable hardware should win</t>
  </si>
  <si>
    <t xml:space="preserve">Precedent runs both ways. Bitcoin and Tesla both used FPGAs while the target moved, then went to fixed silicon once it froze. Neither case is a mixed pool of several models that change slowly. Does that band exist commercially, and how big is it?</t>
  </si>
  <si>
    <t xml:space="preserve">Why nobody is selling efficient inference on FPGA</t>
  </si>
  <si>
    <t xml:space="preserve">Observed absence</t>
  </si>
  <si>
    <t xml:space="preserve">Tens of billions chasing inference efficiency with fixed-function chips. Nobody visible doing it with reconfigurable ones. Candidate reasons: Microsoft tried and exited, Azure retires 2027; the Xilinx brand disappeared into AMD; hardware limits from the 2017 era still shape the narrative. Or the advantage does not survive concurrency, which is already an open item here.</t>
  </si>
  <si>
    <t xml:space="preserve">Inference-efficiency market as competitive context</t>
  </si>
  <si>
    <t xml:space="preserve">Well capitalised</t>
  </si>
  <si>
    <t xml:space="preserve">NVIDIA licensed Groq for about $20bn and shipped an inference chip. Cerebras public. d-Matrix Corsair in production. Etched shipping. Purchasable today: Tenstorrent, d-Matrix. Rented not sold: Cerebras, SambaNova. Does any of this compete for the same buyer?</t>
  </si>
  <si>
    <t xml:space="preserve">Environmental framing is unused by competitors</t>
  </si>
  <si>
    <t xml:space="preserve">Observed</t>
  </si>
  <si>
    <t xml:space="preserve">Opportunity or signal</t>
  </si>
  <si>
    <t xml:space="preserve">Efficiency is marketed as speed and cost, almost never as green. Only clear exception found is SCX in Australia. Is the framing vacant because it works and nobody tried, or because buyers do not pay for it?</t>
  </si>
  <si>
    <t xml:space="preserve">GOVERNANCE IS THE FAILURE MODE FOR SHARED INFRASTRUCTURE</t>
  </si>
  <si>
    <t xml:space="preserve">Precedent: MGHPCC</t>
  </si>
  <si>
    <t xml:space="preserve">CRITICAL. MGHPCC (BU, Harvard, MIT, Northeastern, UMass, later Yale) built a $165M shared facility in Holyoke in 2012 and it works. Its meet-me switch was stymied by policy differences between members. Shared infrastructure does not fail at engineering. It fails at governance. Any cooperative or multi-party structure carries this risk and nothing in this model prices it.</t>
  </si>
  <si>
    <t xml:space="preserve">Cooperative vehicle: which statute</t>
  </si>
  <si>
    <t xml:space="preserve">Not decided</t>
  </si>
  <si>
    <t xml:space="preserve">Subchapter T or 501(c)(12)</t>
  </si>
  <si>
    <t xml:space="preserve">Subchapter T (IRC 1381-1388) may conduct any kind of business, no member-income test. 501(c)(12) restricted to utility-type activity with an 85% member-income test. Maine electric co-ops sit under Title 35-A Ch 37 with PUC oversight and an equity cap. Which applies to compute hosting? Counsel.</t>
  </si>
  <si>
    <t xml:space="preserve">Whether Maine cooperative statutes cover compute hosting</t>
  </si>
  <si>
    <t xml:space="preserve">Assumed possible</t>
  </si>
  <si>
    <t xml:space="preserve">Yes or no</t>
  </si>
  <si>
    <t xml:space="preserve">Purpose scope question. Counsel.</t>
  </si>
  <si>
    <t xml:space="preserve">Whether a cooperative can serve non-members at scale</t>
  </si>
  <si>
    <t xml:space="preserve">Affects the whole revenue model</t>
  </si>
  <si>
    <t xml:space="preserve">If most revenue must come from members, the customer list and the ownership list are the same list. Counsel.</t>
  </si>
  <si>
    <t xml:space="preserve">Patronage dividend mechanics and pricing</t>
  </si>
  <si>
    <t xml:space="preserve">What returning surplus to members does to list pricing and to non-member pricing. Counsel and CPA.</t>
  </si>
  <si>
    <t xml:space="preserve">Maine Chapter 41 joint agency as a vehicle</t>
  </si>
  <si>
    <t xml:space="preserve">Not evaluated</t>
  </si>
  <si>
    <t xml:space="preserve">Existing mechanism</t>
  </si>
  <si>
    <t xml:space="preserve">Allows municipalities and co-ops to combine. May be a faster route than forming a new entity.</t>
  </si>
  <si>
    <t xml:space="preserve">What "their hardware, that we run" means</t>
  </si>
  <si>
    <t xml:space="preserve">Undefined</t>
  </si>
  <si>
    <t xml:space="preserve">Four candidate forms</t>
  </si>
  <si>
    <t xml:space="preserve">Ownership with us operating, a cooperative share, a contractual promise about a named machine, or delegated administrative control. Different products, costs and legal shapes. Trades utilisation for identifiability in every form.</t>
  </si>
  <si>
    <t xml:space="preserve">POWER PRICE IS A GATE ON OLD HARDWARE</t>
  </si>
  <si>
    <t xml:space="preserve">$0.22/kWh assumed for every class</t>
  </si>
  <si>
    <t xml:space="preserve">Cheap or host-bundled power changes which classes work</t>
  </si>
  <si>
    <t xml:space="preserve">Old accelerators are cheap to buy and expensive to run. The AMD CDNA 2 mix draws 116 kW against 67 kW for datacenter GPU, on hardware costing less than half as much, and the electricity difference over six years exceeds the acquisition saving. At Maine rates that kills it. At host-bundled, curtailed or behind-the-meter power it may be viable. Nothing in this model tests a class against a different power price.</t>
  </si>
  <si>
    <t xml:space="preserve">MI300X secondhand availability</t>
  </si>
  <si>
    <t xml:space="preserve">Priced at retail, bought zero</t>
  </si>
  <si>
    <t xml:space="preserve">Used listings absent while older parts trade freely</t>
  </si>
  <si>
    <t xml:space="preserve">The efficient part in the AMD family has no visible used market while MI250X and MI210 do. Most likely demand absorbing supply. Re-check periodically; used MI300X at a normal discount would change the class result entirely.</t>
  </si>
  <si>
    <t xml:space="preserve">MI250X rental rate</t>
  </si>
  <si>
    <t xml:space="preserve">$1,100/mo used</t>
  </si>
  <si>
    <t xml:space="preserve">$1.28-1.60/hr, one provider</t>
  </si>
  <si>
    <t xml:space="preserve">Cirrascale is the only listed source, 4 instances. One seller is not a market price.</t>
  </si>
  <si>
    <t xml:space="preserve">MI210 rental rate</t>
  </si>
  <si>
    <t xml:space="preserve">$650/mo used</t>
  </si>
  <si>
    <t xml:space="preserve">$0.70-0.82/hr, one unverified site</t>
  </si>
  <si>
    <t xml:space="preserve">Runcrate lists it; unclear whether operator, reseller or aggregator. Another index reports no MI210 cloud pricing at all.</t>
  </si>
  <si>
    <t xml:space="preserve">Old AMD parts have almost no rental market</t>
  </si>
  <si>
    <t xml:space="preserve">Assumed contractable</t>
  </si>
  <si>
    <t xml:space="preserve">1 provider each</t>
  </si>
  <si>
    <t xml:space="preserve">Thin listing counts are a demand signal. The model contracts 39 machines of hardware barely anyone rents.</t>
  </si>
  <si>
    <t xml:space="preserve">On-demand rates used as contract rates</t>
  </si>
  <si>
    <t xml:space="preserve">Hourly x 730</t>
  </si>
  <si>
    <t xml:space="preserve">Contracts normally price below</t>
  </si>
  <si>
    <t xml:space="preserve">All AMD monthly rates derive from on-demand hourly. Committed capacity usually costs less, so these overstate.</t>
  </si>
  <si>
    <t xml:space="preserve">POWER COST IS THE LARGEST UNMODELLED RISK, AND IT HITS THE FLEETS UNEVENLY</t>
  </si>
  <si>
    <t xml:space="preserve">One flat rate for six years</t>
  </si>
  <si>
    <t xml:space="preserve">Free to $0.32 all-in; swings of $4.9M between paths</t>
  </si>
  <si>
    <t xml:space="preserve">The comparison grid shows how uneven: NVIDIA consumer moves $4.9M across free to market, AMD $818k, FPGA $357k. A power-hungry fleet is a wager on an electricity arrangement; a low-draw fleet is not. Any class ranking is really a ranking at one assumed rate.</t>
  </si>
  <si>
    <t xml:space="preserve">Maine rate escalation</t>
  </si>
  <si>
    <t xml:space="preserve">No escalation. Flat rate for six years.</t>
  </si>
  <si>
    <t xml:space="preserve">42-52% rise since 2020; 84% single-year shock in 2022</t>
  </si>
  <si>
    <t xml:space="preserve">CMP supply hit 12.72c in Jan 2026, highest ever, up 20% in one year. Versant Maine Public District rose 84-86% in 2022. Transmission up 109% since 2013. Driver is LNG export growth, structural not cyclical. Model has no escalation input.</t>
  </si>
  <si>
    <t xml:space="preserve">Rate reset timing against contract length</t>
  </si>
  <si>
    <t xml:space="preserve">Standard offer rebids every 6-12 months</t>
  </si>
  <si>
    <t xml:space="preserve">Customer contracts run 1-2 years; the power rate resets annually. A spike lands entirely on us until renewal. No pass-through clause is modelled.</t>
  </si>
  <si>
    <t xml:space="preserve">Mixed-hardware deployment: FPGA and AMD Instinct (or other classes) in the same facility</t>
  </si>
  <si>
    <t xml:space="preserve">Modeled as five mutually exclusive alternatives; no combined scenario</t>
  </si>
  <si>
    <t xml:space="preserve">Physically compatible: same PCIe/OAM form factor, no bus-level conflict, both AMD product lines. Real constraint is operational: separate ROCm and Vitis/HLS/XRT stacks, separate workload routing.</t>
  </si>
  <si>
    <t xml:space="preserve">Route pinned-model, latency-bound workloads (medical imaging, sensor fusion) to FPGA and general-purpose workloads to AMD or NVIDIA, instead of committing capital to one class. Ties to #62 (mixed model pool, not modelled). Needs its own capex/opex split and routing logic before it changes any result here.</t>
  </si>
  <si>
    <t xml:space="preserve">6-year retirement/analysis horizon vs. real-world chip service life</t>
  </si>
  <si>
    <t xml:space="preserve">Retire after 6 years, all classes (see #56 — this makes retirement dormant since 6yr model = 6yr retirement)</t>
  </si>
  <si>
    <t xml:space="preserve">CoreWeave is renting 2020 A100s profitably into 2029 (age 9), with 'longer utilization at higher prices... potential for significant further upside' per its CFO — but Meta's Llama 3 training data implies ~9%/yr failure rate, and older chips are far less power-efficient, which may force early retirement regardless of profit. Source: WSJ, 'New Jobs for Old AI Chips,' Aug 18 2026.</t>
  </si>
  <si>
    <t xml:space="preserve">Two live sources tension: profitability argues for extending the model past 6 years (matches #56's fix of lowering retirement below the horizon), while compounding failure and power-per-token efficiency argue for the opposite. Needs a real depreciation-vs-failure-vs-power tradeoff, not just a horizon change. Unresolved.</t>
  </si>
  <si>
    <t xml:space="preserve">SOURCES</t>
  </si>
  <si>
    <t xml:space="preserve">What it supports</t>
  </si>
  <si>
    <t xml:space="preserve">Source</t>
  </si>
  <si>
    <t xml:space="preserve">URL</t>
  </si>
  <si>
    <t xml:space="preserve">RunPod Community vs Secure pricing; RTX 4090 $0.34 vs $0.69/hr</t>
  </si>
  <si>
    <t xml:space="preserve">RunPod pricing page</t>
  </si>
  <si>
    <t xml:space="preserve">https://www.runpod.io/pricing</t>
  </si>
  <si>
    <t xml:space="preserve">H100 Secure $2.89 PCIe / $3.29 SXM5; Community $1.80-$2.40</t>
  </si>
  <si>
    <t xml:space="preserve">Ecommerce Paradise</t>
  </si>
  <si>
    <t xml:space="preserve">https://ecommerceparadise.com/runpod-pricing/</t>
  </si>
  <si>
    <t xml:space="preserve">Secure premium 44-69%; H200 anomaly; SOC 2 Type II Oct 2025</t>
  </si>
  <si>
    <t xml:space="preserve">CheckThat.ai</t>
  </si>
  <si>
    <t xml:space="preserve">https://checkthat.ai/brands/runpod/pricing</t>
  </si>
  <si>
    <t xml:space="preserve">Vast.ai host earnings H100/H200 $2.15-$4.00+/GPU-hr; 5090 $0.30-$0.60</t>
  </si>
  <si>
    <t xml:space="preserve">Vast.ai host earnings</t>
  </si>
  <si>
    <t xml:space="preserve">https://vast.ai/article/how-much-money-can-you-earn-renting-out-your-gpu-on-vast-ai</t>
  </si>
  <si>
    <t xml:space="preserve">Vast financing, certified refurbished sourcing, enterprise reserved matching</t>
  </si>
  <si>
    <t xml:space="preserve">Vast.ai hosting</t>
  </si>
  <si>
    <t xml:space="preserve">https://vast.ai/hosting</t>
  </si>
  <si>
    <t xml:space="preserve">H100 rental history: $4.70 to $8+ launch, ~58% decline, median $2.95-$3.46, floor $1.49</t>
  </si>
  <si>
    <t xml:space="preserve">GPUSmith</t>
  </si>
  <si>
    <t xml:space="preserve">https://gpusmith.com/articles/en/h100-rental-price-history-trends</t>
  </si>
  <si>
    <t xml:space="preserve">H100 $7-$10/hr 2023 to $2-$4/hr late 2025</t>
  </si>
  <si>
    <t xml:space="preserve">Silicon Data</t>
  </si>
  <si>
    <t xml:space="preserve">https://www.silicondata.com/blog/h100-rental-price-over-time</t>
  </si>
  <si>
    <t xml:space="preserve">Committed 1-yr H100 rates ROSE $1.70 to $2.35/hr Oct 2025 to Mar 2026</t>
  </si>
  <si>
    <t xml:space="preserve">Ornn OCPI via Crypto Briefing</t>
  </si>
  <si>
    <t xml:space="preserve">https://cryptobriefing.com/h100-rental-prices-slide-ornn-ai/</t>
  </si>
  <si>
    <t xml:space="preserve">Used A100/H100 market; used traded to $50k in 2024; retail $25k-$40k</t>
  </si>
  <si>
    <t xml:space="preserve">Hashrate Index</t>
  </si>
  <si>
    <t xml:space="preserve">https://hashrateindex.com/blog/used-gpu-market-pricing-deprecation-secondary-ai/</t>
  </si>
  <si>
    <t xml:space="preserve">New H100 $25k-$35k; setup 30-50% above card cost; hyperscaler vs neocloud spread</t>
  </si>
  <si>
    <t xml:space="preserve">Spheron</t>
  </si>
  <si>
    <t xml:space="preserve">https://www.spheron.network/blog/nvidia-h100-price-2026/</t>
  </si>
  <si>
    <t xml:space="preserve">Meta Llama 3: 16,384 H100s, 54 days, 419 unexpected interruptions</t>
  </si>
  <si>
    <t xml:space="preserve">Llama 3 Herd of Models (primary)</t>
  </si>
  <si>
    <t xml:space="preserve">https://arxiv.org/pdf/2407.21783</t>
  </si>
  <si>
    <t xml:space="preserve">Failure table: 30.1% GPU, 17.2% HBM3, one failure every three hours</t>
  </si>
  <si>
    <t xml:space="preserve">DataCenterDynamics</t>
  </si>
  <si>
    <t xml:space="preserve">https://www.datacenterdynamics.com/en/news/meta-report-details-hundreds-of-gpu-and-hbm3-related-interruptions-to-llama-3-training-run/</t>
  </si>
  <si>
    <t xml:space="preserve">Maine commercial average 23.27c/kWh</t>
  </si>
  <si>
    <t xml:space="preserve">ElectricChoice</t>
  </si>
  <si>
    <t xml:space="preserve">https://www.electricchoice.com/electricity-prices-by-state/maine/</t>
  </si>
  <si>
    <t xml:space="preserve">CMP 2026 medium business standard offer 12.36c/kWh; large class wholesale-indexed</t>
  </si>
  <si>
    <t xml:space="preserve">Maine PUC standard offer bids</t>
  </si>
  <si>
    <t xml:space="preserve">https://www.einpresswire.com/article/868641743/commission-accepts-bids-for-standard-offer-electricity-supply-for-2026-for-central-maine-power-company-and-versant-power-company-s-maine-public</t>
  </si>
  <si>
    <t xml:space="preserve">CMP supply 12.72c effective 1 Jan 2026</t>
  </si>
  <si>
    <t xml:space="preserve">CMP pricing</t>
  </si>
  <si>
    <t xml:space="preserve">https://www.cmpco.com/account/understandyourbill/pricing</t>
  </si>
  <si>
    <t xml:space="preserve">CMP all-in ~27c/kWh; Maine rates up 42-52% since 2020</t>
  </si>
  <si>
    <t xml:space="preserve">NuWatt</t>
  </si>
  <si>
    <t xml:space="preserve">https://nuwattenergy.com/en/maine/electricity-rates-2026</t>
  </si>
  <si>
    <t xml:space="preserve">Medium-class standard offer 8.8c May to 19.5c January 2026; C&amp;I delivery by demand class</t>
  </si>
  <si>
    <t xml:space="preserve">Nectar CMP guide</t>
  </si>
  <si>
    <t xml:space="preserve">https://nectarclimate.com/rates/central-maine-power</t>
  </si>
  <si>
    <t xml:space="preserve">Maine NEB credits roll forward but expire after 12 months with no cash payout</t>
  </si>
  <si>
    <t xml:space="preserve">Maine NEB 2026 overview</t>
  </si>
  <si>
    <t xml:space="preserve">https://mysolarfy.com/maine-net-energy-billing-2026/</t>
  </si>
  <si>
    <t xml:space="preserve">Efficiency Maine C&amp;I Custom: electrical efficiency, DISTRIBUTED GENERATION or thermal; $10,000 min to $1,000,000 max per customer per year, up to 50% of project cost</t>
  </si>
  <si>
    <t xml:space="preserve">Efficiency Maine at Work</t>
  </si>
  <si>
    <t xml:space="preserve">https://www.efficiencymaine.com/at-work/</t>
  </si>
  <si>
    <t xml:space="preserve">Same program described in the state incentive database</t>
  </si>
  <si>
    <t xml:space="preserve">ACEEE policy database, Maine</t>
  </si>
  <si>
    <t xml:space="preserve">https://database.aceee.org/state/maine</t>
  </si>
  <si>
    <t xml:space="preserve">USDA REAP: grants up to 50% (IRA) or 25% (Farm Bill); $2,500 min / $1,000,000 max renewable systems; rural under 50,000 population</t>
  </si>
  <si>
    <t xml:space="preserve">USDA Rural Development REAP</t>
  </si>
  <si>
    <t xml:space="preserve">https://www.rd.usda.gov/inflation-reduction-act/rural-energy-america-program-reap</t>
  </si>
  <si>
    <t xml:space="preserve">REAP grant awards PAUSED as of 31 Mar 2026 pending new regulations; guaranteed loans continue</t>
  </si>
  <si>
    <t xml:space="preserve">Grantsights REAP 2026 guide</t>
  </si>
  <si>
    <t xml:space="preserve">https://grantsights.com/blog/usda-reap-grants-guide</t>
  </si>
  <si>
    <t xml:space="preserve">REAP loan guarantee terms and combined grant/loan up to 75%</t>
  </si>
  <si>
    <t xml:space="preserve">USDA REAP guaranteed loans</t>
  </si>
  <si>
    <t xml:space="preserve">https://www.rd.usda.gov/programs-services/energy-programs/rural-energy-america-program-renewable-energy-systems-energy-efficiency-improvement-guaranteed-loans</t>
  </si>
  <si>
    <t xml:space="preserve">100% bonus depreciation permanent for property acquired after 19 Jan 2025</t>
  </si>
  <si>
    <t xml:space="preserve">IRS Notice 2026-11 announcement</t>
  </si>
  <si>
    <t xml:space="preserve">https://www.irs.gov/newsroom/treasury-irs-issue-guidance-on-the-additional-first-year-depreciation-deduction-amended-as-part-of-the-one-big-beautiful-bill</t>
  </si>
  <si>
    <t xml:space="preserve">Section 179 raised $1.0M to $2.5M</t>
  </si>
  <si>
    <t xml:space="preserve">IRS Working Families Tax Cuts</t>
  </si>
  <si>
    <t xml:space="preserve">https://www.irs.gov/newsroom/working-families-tax-cuts</t>
  </si>
  <si>
    <t xml:space="preserve">2026 indexed $2.56M and $4.09M; used qualifies if first use</t>
  </si>
  <si>
    <t xml:space="preserve">US Bank</t>
  </si>
  <si>
    <t xml:space="preserve">https://www.usbank.com/corporate-and-commercial-banking/insights/credit-finance/equipment/maximize-deductions-section-179.html</t>
  </si>
  <si>
    <t xml:space="preserve">Section 179 income limitation; bonus can create a loss; state non-conformity</t>
  </si>
  <si>
    <t xml:space="preserve">Thomson Reuters</t>
  </si>
  <si>
    <t xml:space="preserve">https://tax.thomsonreuters.com/en/glossary/bonus-depreciation</t>
  </si>
  <si>
    <t xml:space="preserve">CLOUD Act exposure follows incorporation not server location</t>
  </si>
  <si>
    <t xml:space="preserve">Spheron EU providers 2026</t>
  </si>
  <si>
    <t xml:space="preserve">https://www.spheron.network/blog/gpu-cloud-providers-europe-2026/</t>
  </si>
  <si>
    <t xml:space="preserve">OVHcloud 99.99% SLA, ISO 27001/SOC</t>
  </si>
  <si>
    <t xml:space="preserve">OVHcloud H100</t>
  </si>
  <si>
    <t xml:space="preserve">https://www.ovhcloud.com/en/public-cloud/gpu/h100/</t>
  </si>
  <si>
    <t xml:space="preserve">UpCloud 100% renewable, waste heat recovery</t>
  </si>
  <si>
    <t xml:space="preserve">ComputePrices</t>
  </si>
  <si>
    <t xml:space="preserve">https://computeprices.com/providers/upcloud</t>
  </si>
  <si>
    <t xml:space="preserve">Green providers competing below hyperscalers</t>
  </si>
  <si>
    <t xml:space="preserve">RunPod providers guide</t>
  </si>
  <si>
    <t xml:space="preserve">https://www.runpod.io/articles/guides/top-cloud-gpu-providers</t>
  </si>
  <si>
    <t xml:space="preserve">Dedicated bare-metal monthly pricing</t>
  </si>
  <si>
    <t xml:space="preserve">GetDeploying</t>
  </si>
  <si>
    <t xml:space="preserve">https://getdeploying.com/guides/cheapest-gpu-cloud</t>
  </si>
  <si>
    <t xml:space="preserve">Maine tie-bid and reciprocal resident bidder preference</t>
  </si>
  <si>
    <t xml:space="preserve">Maine Rev. Stat. Title 5 sec. 1825-B</t>
  </si>
  <si>
    <t xml:space="preserve">https://www.mainelegislature.org/legis/statutes/5/title5sec1825-b.html</t>
  </si>
  <si>
    <t xml:space="preserve">Up to 10% of RFP evaluation points for certified small business entrepreneurship</t>
  </si>
  <si>
    <t xml:space="preserve">NASPO Maine</t>
  </si>
  <si>
    <t xml:space="preserve">https://www.naspo.org/research-and-innovation/state-preference-repository/browse-by-state/maine/</t>
  </si>
  <si>
    <t xml:space="preserve">Vendor registration; solicitations via Vendor Self-Service from 1 Oct 2025</t>
  </si>
  <si>
    <t xml:space="preserve">Maine Procurement Services</t>
  </si>
  <si>
    <t xml:space="preserve">https://www.maine.gov/dafs/bbm/procurementservices/vendors</t>
  </si>
  <si>
    <t xml:space="preserve">AMD MI250X rental pricing, Cirrascale via gpuperhour</t>
  </si>
  <si>
    <t xml:space="preserve">https://gpuperhour.com/rent/mi250x</t>
  </si>
  <si>
    <t xml:space="preserve">AMD MI210 rental listing, Runcrate</t>
  </si>
  <si>
    <t xml:space="preserve">https://www.runcrate.ai/pricing/gpu/mi210</t>
  </si>
  <si>
    <t xml:space="preserve">Accessed 29 July 2026. Rates and program status are volatile; re-verify within 30 days of any commitment.</t>
  </si>
  <si>
    <t xml:space="preserve">AMD MI210 specs and cloud availability</t>
  </si>
  <si>
    <t xml:space="preserve">https://gpucost.org/gpu/mi210</t>
  </si>
  <si>
    <t xml:space="preserve">Cloud GPU rental price index, MI300X median and range</t>
  </si>
  <si>
    <t xml:space="preserve">https://aimultiple.com/gpu-index</t>
  </si>
  <si>
    <t xml:space="preserve">Hot Aisle MI300X at $1.99/GPU/hr, AMD blog</t>
  </si>
  <si>
    <t xml:space="preserve">https://www.amd.com/en/blogs/2025/neocloud-hot-aisle-brings-the-heat.html</t>
  </si>
  <si>
    <t xml:space="preserve">MI355X and MI325X cloud pricing</t>
  </si>
  <si>
    <t xml:space="preserve">https://getdeploying.com/gpus/amd-mi355x</t>
  </si>
  <si>
    <t xml:space="preserve">CMP 10-year rate history, supply transmission distribution</t>
  </si>
  <si>
    <t xml:space="preserve">https://www.cmpco.com/documents/40117/115964265/Dec+2024+CMP+10+year+rate+charts_web.pdf</t>
  </si>
  <si>
    <t xml:space="preserve">CMP 2026 standard offer 12.72c, highest in history</t>
  </si>
  <si>
    <t xml:space="preserve">https://nuwattenergy.com/en/maine/cmp-rate-increase-2026</t>
  </si>
  <si>
    <t xml:space="preserve">Maine rate drivers, LNG export growth</t>
  </si>
  <si>
    <t xml:space="preserve">https://themainemonitor.org/electricity-rates-rise-overseas-natural-gas/</t>
  </si>
  <si>
    <t xml:space="preserve">Versant Maine Public District 84-86% increase 2022</t>
  </si>
  <si>
    <t xml:space="preserve">https://www.einpresswire.com/article/557451339/</t>
  </si>
  <si>
    <t xml:space="preserve">CoreWeave renting 2020-vintage A100s profitably into 2029 (age 9); depreciation ends at 4-6yr so fully-depreciated chips carry high margin; Meta Llama 3 training run implies ~9%/yr chip failure rate; power efficiency may force early retirement regardless of profitability</t>
  </si>
  <si>
    <t xml:space="preserve">https://www.wsj.com/tech/ai/new-jobs-for-old-ai-chips-662bd533</t>
  </si>
  <si>
    <t xml:space="preserve">Added for the liquid-cooled derivative, accessed 2026-09-18</t>
  </si>
  <si>
    <t xml:space="preserve">Liquid vs air 8x H100 measured power: 6.99 vs 8.16 kW under GPU burn</t>
  </si>
  <si>
    <t xml:space="preserve">arXiv 2507.16781</t>
  </si>
  <si>
    <t xml:space="preserve">https://arxiv.org/html/2507.16781</t>
  </si>
  <si>
    <t xml:space="preserve">8x H100 server 6.3 kW liquid vs 7.0 kW air</t>
  </si>
  <si>
    <t xml:space="preserve">Supermicro liquid cooling white paper</t>
  </si>
  <si>
    <t xml:space="preserve">https://www.supermicro.com/white_paper/white_paper_Liquid-Cooling-Solutions.pdf</t>
  </si>
  <si>
    <t xml:space="preserve">Liquid-cooled HGX H100/H200 system requirements (rack integration required)</t>
  </si>
  <si>
    <t xml:space="preserve">Supermicro SYS-421GE-TNHR2-LCC datasheet</t>
  </si>
  <si>
    <t xml:space="preserve">https://www.supermicro.com/en/products/system/datasheet/sys-421ge-tnhr2-lcc</t>
  </si>
  <si>
    <t xml:space="preserve">Up to 75% of heat to water; W45 capable</t>
  </si>
  <si>
    <t xml:space="preserve">Lenovo SR780a V3 product guide</t>
  </si>
  <si>
    <t xml:space="preserve">https://lenovopress.lenovo.com/lp1980-thinksystem-sr780a-v3-server</t>
  </si>
  <si>
    <t xml:space="preserve">HGX B200 1,000 W per GPU, 180 GB</t>
  </si>
  <si>
    <t xml:space="preserve">Lenovo Press LP2226</t>
  </si>
  <si>
    <t xml:space="preserve">https://lenovopress.lenovo.com/lp2226-thinksystem-nvidia-b200-180gb-1000w-gpu</t>
  </si>
  <si>
    <t xml:space="preserve">NVIDIA DGX H100/H200: 10.2 kW maximum (air-cooled baseline)</t>
  </si>
  <si>
    <t xml:space="preserve">NVIDIA DGX H100/H200 user guide</t>
  </si>
  <si>
    <t xml:space="preserve">https://docs.nvidia.com/dgx/dgxh100-user-guide/introduction-to-dgxh100.html</t>
  </si>
  <si>
    <t xml:space="preserve">Cold-plate retrofit moves warranty and thermal responsibility to the buyer</t>
  </si>
  <si>
    <t xml:space="preserve">DataCenterChill</t>
  </si>
  <si>
    <t xml:space="preserve">https://www.datacenterchill.com/rankings/cold-plate-manufacturers</t>
  </si>
  <si>
    <t xml:space="preserve">Factory liquid-cooling premium $2-5k per server; retrofit $1-3k (low-credibility source)</t>
  </si>
  <si>
    <t xml:space="preserve">gpu.fm</t>
  </si>
  <si>
    <t xml:space="preserve">https://www.gpu.fm/blog/liquid-cooling-ai-gpu-servers-guide</t>
  </si>
</sst>
</file>

<file path=xl/styles.xml><?xml version="1.0" encoding="utf-8"?>
<styleSheet xmlns="http://schemas.openxmlformats.org/spreadsheetml/2006/main">
  <numFmts count="20">
    <numFmt numFmtId="164" formatCode="General"/>
    <numFmt numFmtId="165" formatCode="0"/>
    <numFmt numFmtId="166" formatCode="0%"/>
    <numFmt numFmtId="167" formatCode="\$#,##0;&quot;($&quot;#,##0\);\-"/>
    <numFmt numFmtId="168" formatCode="0.0"/>
    <numFmt numFmtId="169" formatCode="0.00"/>
    <numFmt numFmtId="170" formatCode="#,##0"/>
    <numFmt numFmtId="171" formatCode="\$#,##0;&quot;($&quot;#,##0\);\-"/>
    <numFmt numFmtId="172" formatCode="\$#,##0.00"/>
    <numFmt numFmtId="173" formatCode="0.0%"/>
    <numFmt numFmtId="174" formatCode="0.000"/>
    <numFmt numFmtId="175" formatCode="#,##0.00"/>
    <numFmt numFmtId="176" formatCode="\$#,##0"/>
    <numFmt numFmtId="177" formatCode="\$0.00"/>
    <numFmt numFmtId="178" formatCode="\$#,##0.0000"/>
    <numFmt numFmtId="179" formatCode="#,##0.0"/>
    <numFmt numFmtId="180" formatCode="0.00\x"/>
    <numFmt numFmtId="181" formatCode="\$0.000"/>
    <numFmt numFmtId="182" formatCode="0.0000"/>
    <numFmt numFmtId="183" formatCode="\$#,##0.00;&quot;($&quot;#,##0.00\);\-"/>
  </numFmts>
  <fonts count="23">
    <font>
      <sz val="11"/>
      <color theme="1"/>
      <name val="Calibri"/>
      <family val="2"/>
      <charset val="1"/>
    </font>
    <font>
      <sz val="10"/>
      <name val="Arial"/>
      <family val="0"/>
    </font>
    <font>
      <sz val="10"/>
      <name val="Arial"/>
      <family val="0"/>
    </font>
    <font>
      <sz val="10"/>
      <name val="Arial"/>
      <family val="0"/>
    </font>
    <font>
      <b val="true"/>
      <sz val="13"/>
      <name val="Arial"/>
      <family val="0"/>
      <charset val="1"/>
    </font>
    <font>
      <sz val="10"/>
      <name val="Arial"/>
      <family val="0"/>
      <charset val="1"/>
    </font>
    <font>
      <b val="true"/>
      <sz val="10"/>
      <name val="Arial"/>
      <family val="0"/>
      <charset val="1"/>
    </font>
    <font>
      <i val="true"/>
      <sz val="9"/>
      <name val="Arial"/>
      <family val="0"/>
      <charset val="1"/>
    </font>
    <font>
      <b val="true"/>
      <sz val="10"/>
      <color rgb="FFFFFFFF"/>
      <name val="Arial"/>
      <family val="0"/>
      <charset val="1"/>
    </font>
    <font>
      <b val="true"/>
      <sz val="14"/>
      <name val="Arial"/>
      <family val="0"/>
      <charset val="1"/>
    </font>
    <font>
      <i val="true"/>
      <sz val="10"/>
      <name val="Arial"/>
      <family val="0"/>
      <charset val="1"/>
    </font>
    <font>
      <b val="true"/>
      <sz val="11"/>
      <name val="Arial"/>
      <family val="0"/>
      <charset val="1"/>
    </font>
    <font>
      <sz val="10"/>
      <color rgb="FF0000FF"/>
      <name val="Arial"/>
      <family val="0"/>
      <charset val="1"/>
    </font>
    <font>
      <sz val="10"/>
      <color rgb="FF008000"/>
      <name val="Arial"/>
      <family val="0"/>
      <charset val="1"/>
    </font>
    <font>
      <sz val="9"/>
      <name val="Arial"/>
      <family val="0"/>
      <charset val="1"/>
    </font>
    <font>
      <sz val="10"/>
      <name val="Arial"/>
      <family val="2"/>
    </font>
    <font>
      <b val="true"/>
      <sz val="18"/>
      <color rgb="FF000000"/>
      <name val="Calibri"/>
      <family val="2"/>
    </font>
    <font>
      <sz val="10"/>
      <color rgb="FF000000"/>
      <name val="Calibri"/>
      <family val="2"/>
    </font>
    <font>
      <b val="true"/>
      <sz val="10"/>
      <color rgb="FF000000"/>
      <name val="Calibri"/>
      <family val="2"/>
    </font>
    <font>
      <b val="true"/>
      <sz val="12"/>
      <name val="Arial"/>
      <family val="0"/>
      <charset val="1"/>
    </font>
    <font>
      <i val="true"/>
      <sz val="11"/>
      <name val="Arial"/>
      <family val="0"/>
      <charset val="1"/>
    </font>
    <font>
      <sz val="11"/>
      <name val="Arial"/>
      <family val="0"/>
      <charset val="1"/>
    </font>
    <font>
      <u val="single"/>
      <sz val="9"/>
      <color rgb="FF0563C1"/>
      <name val="Arial"/>
      <family val="0"/>
      <charset val="1"/>
    </font>
  </fonts>
  <fills count="11">
    <fill>
      <patternFill patternType="none"/>
    </fill>
    <fill>
      <patternFill patternType="gray125"/>
    </fill>
    <fill>
      <patternFill patternType="solid">
        <fgColor rgb="FFD9D9D9"/>
        <bgColor rgb="FFDDEBF7"/>
      </patternFill>
    </fill>
    <fill>
      <patternFill patternType="solid">
        <fgColor rgb="FF1F3864"/>
        <bgColor rgb="FF333333"/>
      </patternFill>
    </fill>
    <fill>
      <patternFill patternType="solid">
        <fgColor rgb="FFFFEB9C"/>
        <bgColor rgb="FFFFF2CC"/>
      </patternFill>
    </fill>
    <fill>
      <patternFill patternType="solid">
        <fgColor rgb="FFFFF2CC"/>
        <bgColor rgb="FFF2F2F2"/>
      </patternFill>
    </fill>
    <fill>
      <patternFill patternType="solid">
        <fgColor rgb="FFDDEBF7"/>
        <bgColor rgb="FFEDEDED"/>
      </patternFill>
    </fill>
    <fill>
      <patternFill patternType="solid">
        <fgColor rgb="FFEDEDED"/>
        <bgColor rgb="FFF2F2F2"/>
      </patternFill>
    </fill>
    <fill>
      <patternFill patternType="solid">
        <fgColor rgb="FFF2F2F2"/>
        <bgColor rgb="FFEDEDED"/>
      </patternFill>
    </fill>
    <fill>
      <patternFill patternType="solid">
        <fgColor rgb="FFFFC7CE"/>
        <bgColor rgb="FFD9D9D9"/>
      </patternFill>
    </fill>
    <fill>
      <patternFill patternType="solid">
        <fgColor rgb="FFFFFF00"/>
        <bgColor rgb="FFFFFF00"/>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3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general" vertical="bottom" textRotation="0" wrapText="false" indent="0" shrinkToFit="false"/>
      <protection locked="true" hidden="false"/>
    </xf>
    <xf numFmtId="164" fontId="5" fillId="2"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3"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5" fillId="4"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6" fillId="5" borderId="0" xfId="0" applyFont="true" applyBorder="false" applyAlignment="true" applyProtection="false">
      <alignment horizontal="general" vertical="bottom" textRotation="0" wrapText="false" indent="0" shrinkToFit="false"/>
      <protection locked="true" hidden="false"/>
    </xf>
    <xf numFmtId="164" fontId="6" fillId="6" borderId="0" xfId="0" applyFont="true" applyBorder="false" applyAlignment="true" applyProtection="false">
      <alignment horizontal="general" vertical="bottom" textRotation="0" wrapText="false" indent="0" shrinkToFit="false"/>
      <protection locked="true" hidden="false"/>
    </xf>
    <xf numFmtId="165" fontId="6" fillId="0" borderId="0" xfId="0" applyFont="true" applyBorder="false" applyAlignment="true" applyProtection="false">
      <alignment horizontal="general" vertical="bottom" textRotation="0" wrapText="false" indent="0" shrinkToFit="false"/>
      <protection locked="true" hidden="false"/>
    </xf>
    <xf numFmtId="165" fontId="5" fillId="5"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6" fontId="6" fillId="0" borderId="0" xfId="0" applyFont="true" applyBorder="false" applyAlignment="true" applyProtection="false">
      <alignment horizontal="general" vertical="bottom" textRotation="0" wrapText="false" indent="0" shrinkToFit="false"/>
      <protection locked="true" hidden="false"/>
    </xf>
    <xf numFmtId="166" fontId="5" fillId="5" borderId="0" xfId="0" applyFont="true" applyBorder="false" applyAlignment="true" applyProtection="false">
      <alignment horizontal="general" vertical="bottom" textRotation="0" wrapText="false" indent="0" shrinkToFit="false"/>
      <protection locked="true" hidden="false"/>
    </xf>
    <xf numFmtId="167" fontId="6" fillId="0" borderId="0" xfId="0" applyFont="true" applyBorder="false" applyAlignment="true" applyProtection="false">
      <alignment horizontal="general" vertical="bottom" textRotation="0" wrapText="false" indent="0" shrinkToFit="false"/>
      <protection locked="true" hidden="false"/>
    </xf>
    <xf numFmtId="167" fontId="5" fillId="7" borderId="0" xfId="0" applyFont="true" applyBorder="false" applyAlignment="true" applyProtection="false">
      <alignment horizontal="general" vertical="bottom" textRotation="0" wrapText="false" indent="0" shrinkToFit="false"/>
      <protection locked="true" hidden="false"/>
    </xf>
    <xf numFmtId="168" fontId="6" fillId="0" borderId="0" xfId="0" applyFont="true" applyBorder="false" applyAlignment="true" applyProtection="false">
      <alignment horizontal="general" vertical="bottom" textRotation="0" wrapText="false" indent="0" shrinkToFit="false"/>
      <protection locked="true" hidden="false"/>
    </xf>
    <xf numFmtId="168" fontId="5" fillId="7" borderId="0" xfId="0" applyFont="true" applyBorder="false" applyAlignment="true" applyProtection="false">
      <alignment horizontal="general" vertical="bottom" textRotation="0" wrapText="false" indent="0" shrinkToFit="false"/>
      <protection locked="true" hidden="false"/>
    </xf>
    <xf numFmtId="164" fontId="11" fillId="6" borderId="0" xfId="0" applyFont="true" applyBorder="false" applyAlignment="true" applyProtection="false">
      <alignment horizontal="general" vertical="bottom" textRotation="0" wrapText="false" indent="0" shrinkToFit="false"/>
      <protection locked="true" hidden="false"/>
    </xf>
    <xf numFmtId="164" fontId="0" fillId="6" borderId="0" xfId="0" applyFont="false" applyBorder="false" applyAlignment="true" applyProtection="false">
      <alignment horizontal="general" vertical="bottom" textRotation="0" wrapText="false" indent="0" shrinkToFit="false"/>
      <protection locked="true" hidden="false"/>
    </xf>
    <xf numFmtId="169" fontId="6"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top" textRotation="0" wrapText="false" indent="0" shrinkToFit="false"/>
      <protection locked="true" hidden="false"/>
    </xf>
    <xf numFmtId="164" fontId="5" fillId="0" borderId="0" xfId="0" applyFont="true" applyBorder="false" applyAlignment="true" applyProtection="false">
      <alignment horizontal="general" vertical="top" textRotation="0" wrapText="false" indent="0" shrinkToFit="false"/>
      <protection locked="true" hidden="false"/>
    </xf>
    <xf numFmtId="164" fontId="0" fillId="0" borderId="0" xfId="0" applyFont="false" applyBorder="false" applyAlignment="true" applyProtection="false">
      <alignment horizontal="general" vertical="top" textRotation="0" wrapText="false" indent="0" shrinkToFit="false"/>
      <protection locked="true" hidden="false"/>
    </xf>
    <xf numFmtId="164" fontId="11" fillId="6" borderId="0" xfId="0" applyFont="true" applyBorder="false" applyAlignment="true" applyProtection="false">
      <alignment horizontal="general" vertical="top" textRotation="0" wrapText="false" indent="0" shrinkToFit="false"/>
      <protection locked="true" hidden="false"/>
    </xf>
    <xf numFmtId="164" fontId="0" fillId="6" borderId="0" xfId="0" applyFont="false" applyBorder="false" applyAlignment="false" applyProtection="false">
      <alignment horizontal="general" vertical="bottom" textRotation="0" wrapText="false" indent="0" shrinkToFit="false"/>
      <protection locked="true" hidden="false"/>
    </xf>
    <xf numFmtId="165" fontId="5" fillId="0" borderId="0" xfId="0" applyFont="true" applyBorder="false" applyAlignment="false" applyProtection="false">
      <alignment horizontal="general" vertical="bottom" textRotation="0" wrapText="false" indent="0" shrinkToFit="false"/>
      <protection locked="true" hidden="false"/>
    </xf>
    <xf numFmtId="168" fontId="5" fillId="0" borderId="0" xfId="0" applyFont="true" applyBorder="false" applyAlignment="false" applyProtection="false">
      <alignment horizontal="general" vertical="bottom" textRotation="0" wrapText="false" indent="0" shrinkToFit="false"/>
      <protection locked="true" hidden="false"/>
    </xf>
    <xf numFmtId="170" fontId="5" fillId="0" borderId="0" xfId="0" applyFont="true" applyBorder="false" applyAlignment="false" applyProtection="false">
      <alignment horizontal="general" vertical="bottom" textRotation="0" wrapText="false" indent="0" shrinkToFit="false"/>
      <protection locked="true" hidden="false"/>
    </xf>
    <xf numFmtId="171"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false" indent="0" shrinkToFit="false"/>
      <protection locked="true" hidden="false"/>
    </xf>
    <xf numFmtId="171" fontId="6" fillId="0" borderId="0" xfId="0" applyFont="true" applyBorder="false" applyAlignment="false" applyProtection="false">
      <alignment horizontal="general" vertical="bottom" textRotation="0" wrapText="false" indent="0" shrinkToFit="false"/>
      <protection locked="true" hidden="false"/>
    </xf>
    <xf numFmtId="164" fontId="6" fillId="8" borderId="0" xfId="0" applyFont="true" applyBorder="false" applyAlignment="true" applyProtection="false">
      <alignment horizontal="general" vertical="top" textRotation="0" wrapText="false" indent="0" shrinkToFit="false"/>
      <protection locked="true" hidden="false"/>
    </xf>
    <xf numFmtId="171" fontId="6" fillId="8" borderId="0" xfId="0" applyFont="true" applyBorder="false" applyAlignment="false" applyProtection="false">
      <alignment horizontal="general" vertical="bottom" textRotation="0" wrapText="false" indent="0" shrinkToFit="false"/>
      <protection locked="true" hidden="false"/>
    </xf>
    <xf numFmtId="169" fontId="6"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6" fillId="9"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6" fillId="4" borderId="0" xfId="0" applyFont="true" applyBorder="false" applyAlignment="true" applyProtection="false">
      <alignment horizontal="general" vertical="bottom" textRotation="0" wrapText="false" indent="0" shrinkToFit="false"/>
      <protection locked="true" hidden="false"/>
    </xf>
    <xf numFmtId="172" fontId="12" fillId="10" borderId="0" xfId="0" applyFont="true" applyBorder="false" applyAlignment="true" applyProtection="false">
      <alignment horizontal="general" vertical="bottom" textRotation="0" wrapText="false" indent="0" shrinkToFit="false"/>
      <protection locked="true" hidden="false"/>
    </xf>
    <xf numFmtId="167" fontId="12" fillId="10" borderId="0" xfId="0" applyFont="true" applyBorder="false" applyAlignment="true" applyProtection="false">
      <alignment horizontal="general" vertical="bottom" textRotation="0" wrapText="false" indent="0" shrinkToFit="false"/>
      <protection locked="true" hidden="false"/>
    </xf>
    <xf numFmtId="170" fontId="12" fillId="10" borderId="0" xfId="0" applyFont="true" applyBorder="false" applyAlignment="true" applyProtection="false">
      <alignment horizontal="general" vertical="bottom" textRotation="0" wrapText="false" indent="0" shrinkToFit="false"/>
      <protection locked="true" hidden="false"/>
    </xf>
    <xf numFmtId="173" fontId="12" fillId="1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7" fontId="0" fillId="0" borderId="0" xfId="0" applyFont="false" applyBorder="false" applyAlignment="true" applyProtection="false">
      <alignment horizontal="general" vertical="bottom" textRotation="0" wrapText="false" indent="0" shrinkToFit="false"/>
      <protection locked="true" hidden="false"/>
    </xf>
    <xf numFmtId="167" fontId="8" fillId="3" borderId="0" xfId="0" applyFont="true" applyBorder="false" applyAlignment="true" applyProtection="false">
      <alignment horizontal="general" vertical="bottom" textRotation="0" wrapText="false" indent="0" shrinkToFit="false"/>
      <protection locked="true" hidden="false"/>
    </xf>
    <xf numFmtId="173" fontId="13" fillId="0" borderId="0" xfId="0" applyFont="true" applyBorder="false" applyAlignment="true" applyProtection="false">
      <alignment horizontal="general" vertical="bottom" textRotation="0" wrapText="false" indent="0" shrinkToFit="false"/>
      <protection locked="true" hidden="false"/>
    </xf>
    <xf numFmtId="174" fontId="12" fillId="10" borderId="0" xfId="0" applyFont="true" applyBorder="false" applyAlignment="true" applyProtection="false">
      <alignment horizontal="general" vertical="bottom" textRotation="0" wrapText="false" indent="0" shrinkToFit="false"/>
      <protection locked="true" hidden="false"/>
    </xf>
    <xf numFmtId="167" fontId="5" fillId="10" borderId="0" xfId="0" applyFont="true" applyBorder="false" applyAlignment="tru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general" vertical="top" textRotation="0" wrapText="true" indent="0" shrinkToFit="false"/>
      <protection locked="true" hidden="false"/>
    </xf>
    <xf numFmtId="175" fontId="12" fillId="10" borderId="0" xfId="0" applyFont="true" applyBorder="false" applyAlignment="true" applyProtection="false">
      <alignment horizontal="general" vertical="bottom" textRotation="0" wrapText="false" indent="0" shrinkToFit="false"/>
      <protection locked="true" hidden="false"/>
    </xf>
    <xf numFmtId="175" fontId="13" fillId="0" borderId="0" xfId="0" applyFont="true" applyBorder="false" applyAlignment="true" applyProtection="false">
      <alignment horizontal="general" vertical="bottom" textRotation="0" wrapText="false" indent="0" shrinkToFit="false"/>
      <protection locked="true" hidden="false"/>
    </xf>
    <xf numFmtId="167" fontId="13" fillId="0" borderId="0" xfId="0" applyFont="true" applyBorder="false" applyAlignment="true" applyProtection="false">
      <alignment horizontal="general" vertical="bottom" textRotation="0" wrapText="false" indent="0" shrinkToFit="false"/>
      <protection locked="true" hidden="false"/>
    </xf>
    <xf numFmtId="166" fontId="12" fillId="10" borderId="0" xfId="0" applyFont="true" applyBorder="false" applyAlignment="true" applyProtection="false">
      <alignment horizontal="general" vertical="bottom" textRotation="0" wrapText="false" indent="0" shrinkToFit="false"/>
      <protection locked="true" hidden="false"/>
    </xf>
    <xf numFmtId="173" fontId="6" fillId="0" borderId="0" xfId="0" applyFont="true" applyBorder="false" applyAlignment="true" applyProtection="false">
      <alignment horizontal="general" vertical="bottom" textRotation="0" wrapText="false" indent="0" shrinkToFit="false"/>
      <protection locked="true" hidden="false"/>
    </xf>
    <xf numFmtId="175" fontId="5" fillId="0" borderId="0" xfId="0" applyFont="true" applyBorder="false" applyAlignment="true" applyProtection="false">
      <alignment horizontal="general" vertical="bottom" textRotation="0" wrapText="false" indent="0" shrinkToFit="false"/>
      <protection locked="true" hidden="false"/>
    </xf>
    <xf numFmtId="176" fontId="6" fillId="7" borderId="0" xfId="0" applyFont="true" applyBorder="false" applyAlignment="true" applyProtection="false">
      <alignment horizontal="general" vertical="bottom" textRotation="0" wrapText="false" indent="0" shrinkToFit="false"/>
      <protection locked="true" hidden="false"/>
    </xf>
    <xf numFmtId="167" fontId="5" fillId="0" borderId="0" xfId="0" applyFont="true" applyBorder="false" applyAlignment="true" applyProtection="false">
      <alignment horizontal="general" vertical="bottom" textRotation="0" wrapText="false" indent="0" shrinkToFit="false"/>
      <protection locked="true" hidden="false"/>
    </xf>
    <xf numFmtId="177" fontId="6" fillId="7" borderId="0" xfId="0" applyFont="true" applyBorder="false" applyAlignment="tru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general" vertical="bottom" textRotation="0" wrapText="false" indent="0" shrinkToFit="false"/>
      <protection locked="true" hidden="false"/>
    </xf>
    <xf numFmtId="168" fontId="12" fillId="10" borderId="0" xfId="0" applyFont="true" applyBorder="false" applyAlignment="true" applyProtection="false">
      <alignment horizontal="general" vertical="bottom" textRotation="0" wrapText="false" indent="0" shrinkToFit="false"/>
      <protection locked="true" hidden="false"/>
    </xf>
    <xf numFmtId="173" fontId="0" fillId="10" borderId="0" xfId="0" applyFont="false" applyBorder="false" applyAlignment="true" applyProtection="false">
      <alignment horizontal="general" vertical="bottom" textRotation="0" wrapText="false" indent="0" shrinkToFit="false"/>
      <protection locked="true" hidden="false"/>
    </xf>
    <xf numFmtId="164" fontId="0" fillId="10" borderId="0" xfId="0" applyFont="false" applyBorder="false" applyAlignment="true" applyProtection="false">
      <alignment horizontal="general" vertical="bottom" textRotation="0" wrapText="false" indent="0" shrinkToFit="false"/>
      <protection locked="true" hidden="false"/>
    </xf>
    <xf numFmtId="173" fontId="12" fillId="0" borderId="0" xfId="0" applyFont="true" applyBorder="false" applyAlignment="true" applyProtection="false">
      <alignment horizontal="general" vertical="bottom" textRotation="0" wrapText="false" indent="0" shrinkToFit="false"/>
      <protection locked="true" hidden="false"/>
    </xf>
    <xf numFmtId="178" fontId="12" fillId="10" borderId="0" xfId="0" applyFont="true" applyBorder="false" applyAlignment="true" applyProtection="false">
      <alignment horizontal="general" vertical="bottom" textRotation="0" wrapText="false" indent="0" shrinkToFit="false"/>
      <protection locked="true" hidden="false"/>
    </xf>
    <xf numFmtId="178" fontId="13" fillId="0" borderId="0" xfId="0" applyFont="true" applyBorder="false" applyAlignment="true" applyProtection="false">
      <alignment horizontal="general" vertical="bottom" textRotation="0" wrapText="false" indent="0" shrinkToFit="false"/>
      <protection locked="true" hidden="false"/>
    </xf>
    <xf numFmtId="164" fontId="12" fillId="10" borderId="0" xfId="0" applyFont="true" applyBorder="false" applyAlignment="true" applyProtection="false">
      <alignment horizontal="general" vertical="bottom" textRotation="0" wrapText="false" indent="0" shrinkToFit="false"/>
      <protection locked="true" hidden="false"/>
    </xf>
    <xf numFmtId="178" fontId="6" fillId="4" borderId="0" xfId="0" applyFont="true" applyBorder="false" applyAlignment="true" applyProtection="false">
      <alignment horizontal="general" vertical="bottom" textRotation="0" wrapText="false" indent="0" shrinkToFit="false"/>
      <protection locked="true" hidden="false"/>
    </xf>
    <xf numFmtId="175" fontId="0" fillId="10" borderId="0" xfId="0" applyFont="false" applyBorder="false" applyAlignment="true" applyProtection="false">
      <alignment horizontal="general" vertical="bottom" textRotation="0" wrapText="false" indent="0" shrinkToFit="false"/>
      <protection locked="true" hidden="false"/>
    </xf>
    <xf numFmtId="172" fontId="13" fillId="10" borderId="0" xfId="0" applyFont="true" applyBorder="false" applyAlignment="true" applyProtection="false">
      <alignment horizontal="general" vertical="bottom" textRotation="0" wrapText="false" indent="0" shrinkToFit="false"/>
      <protection locked="true" hidden="false"/>
    </xf>
    <xf numFmtId="166" fontId="13" fillId="10" borderId="0" xfId="0" applyFont="true" applyBorder="false" applyAlignment="true" applyProtection="false">
      <alignment horizontal="general" vertical="bottom" textRotation="0" wrapText="false" indent="0" shrinkToFit="false"/>
      <protection locked="true" hidden="false"/>
    </xf>
    <xf numFmtId="175" fontId="13" fillId="10" borderId="0" xfId="0" applyFont="true" applyBorder="false" applyAlignment="true" applyProtection="false">
      <alignment horizontal="general" vertical="bottom" textRotation="0" wrapText="false" indent="0" shrinkToFit="false"/>
      <protection locked="true" hidden="false"/>
    </xf>
    <xf numFmtId="167" fontId="13" fillId="10" borderId="0" xfId="0" applyFont="true" applyBorder="false" applyAlignment="tru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70" fontId="0" fillId="0" borderId="0" xfId="0" applyFont="false" applyBorder="false" applyAlignment="true" applyProtection="false">
      <alignment horizontal="general" vertical="bottom" textRotation="0" wrapText="false" indent="0" shrinkToFit="false"/>
      <protection locked="true" hidden="false"/>
    </xf>
    <xf numFmtId="170" fontId="6" fillId="0" borderId="0" xfId="0" applyFont="true" applyBorder="false" applyAlignment="true" applyProtection="false">
      <alignment horizontal="general" vertical="bottom" textRotation="0" wrapText="false" indent="0" shrinkToFit="false"/>
      <protection locked="true" hidden="false"/>
    </xf>
    <xf numFmtId="179" fontId="5" fillId="0" borderId="0" xfId="0" applyFont="true" applyBorder="false" applyAlignment="true" applyProtection="false">
      <alignment horizontal="general" vertical="bottom" textRotation="0" wrapText="false" indent="0" shrinkToFit="false"/>
      <protection locked="true" hidden="false"/>
    </xf>
    <xf numFmtId="167" fontId="6" fillId="4" borderId="0" xfId="0" applyFont="true" applyBorder="false" applyAlignment="true" applyProtection="false">
      <alignment horizontal="general" vertical="bottom" textRotation="0" wrapText="false" indent="0" shrinkToFit="false"/>
      <protection locked="true" hidden="false"/>
    </xf>
    <xf numFmtId="180" fontId="0" fillId="0" borderId="0" xfId="0" applyFont="false" applyBorder="false" applyAlignment="true" applyProtection="false">
      <alignment horizontal="general" vertical="bottom" textRotation="0" wrapText="false" indent="0" shrinkToFit="false"/>
      <protection locked="true" hidden="false"/>
    </xf>
    <xf numFmtId="172" fontId="0" fillId="0" borderId="0" xfId="0" applyFont="false" applyBorder="false" applyAlignment="true" applyProtection="false">
      <alignment horizontal="general" vertical="bottom" textRotation="0" wrapText="false" indent="0" shrinkToFit="false"/>
      <protection locked="true" hidden="false"/>
    </xf>
    <xf numFmtId="180" fontId="0" fillId="4" borderId="0" xfId="0" applyFont="false" applyBorder="false" applyAlignment="true" applyProtection="false">
      <alignment horizontal="general" vertical="bottom" textRotation="0" wrapText="false" indent="0" shrinkToFit="false"/>
      <protection locked="true" hidden="false"/>
    </xf>
    <xf numFmtId="181" fontId="12" fillId="10" borderId="0" xfId="0" applyFont="true" applyBorder="false" applyAlignment="true" applyProtection="false">
      <alignment horizontal="general" vertical="bottom" textRotation="0" wrapText="false" indent="0" shrinkToFit="false"/>
      <protection locked="true" hidden="false"/>
    </xf>
    <xf numFmtId="166" fontId="5" fillId="0" borderId="0" xfId="0" applyFont="true" applyBorder="false" applyAlignment="true" applyProtection="false">
      <alignment horizontal="general" vertical="bottom" textRotation="0" wrapText="false" indent="0" shrinkToFit="false"/>
      <protection locked="true" hidden="false"/>
    </xf>
    <xf numFmtId="166" fontId="5" fillId="10" borderId="0" xfId="0" applyFont="true" applyBorder="false" applyAlignment="true" applyProtection="false">
      <alignment horizontal="general" vertical="bottom" textRotation="0" wrapText="false" indent="0" shrinkToFit="false"/>
      <protection locked="true" hidden="false"/>
    </xf>
    <xf numFmtId="170" fontId="12" fillId="0" borderId="0" xfId="0" applyFont="true" applyBorder="false" applyAlignment="true" applyProtection="false">
      <alignment horizontal="general" vertical="bottom" textRotation="0" wrapText="false" indent="0" shrinkToFit="false"/>
      <protection locked="true" hidden="false"/>
    </xf>
    <xf numFmtId="170" fontId="5" fillId="10" borderId="0" xfId="0" applyFont="true" applyBorder="false" applyAlignment="true" applyProtection="false">
      <alignment horizontal="general" vertical="bottom" textRotation="0" wrapText="false" indent="0" shrinkToFit="false"/>
      <protection locked="true" hidden="false"/>
    </xf>
    <xf numFmtId="170" fontId="5" fillId="0" borderId="0" xfId="0" applyFont="true" applyBorder="false" applyAlignment="true" applyProtection="false">
      <alignment horizontal="general" vertical="bottom" textRotation="0" wrapText="false" indent="0" shrinkToFit="false"/>
      <protection locked="true" hidden="false"/>
    </xf>
    <xf numFmtId="173" fontId="0" fillId="0" borderId="0" xfId="0" applyFont="false" applyBorder="false" applyAlignment="true" applyProtection="false">
      <alignment horizontal="general" vertical="bottom" textRotation="0" wrapText="false" indent="0" shrinkToFit="false"/>
      <protection locked="true" hidden="false"/>
    </xf>
    <xf numFmtId="165" fontId="5" fillId="0" borderId="0" xfId="0" applyFont="true" applyBorder="false" applyAlignment="true" applyProtection="false">
      <alignment horizontal="general" vertical="bottom" textRotation="0" wrapText="false" indent="0" shrinkToFit="false"/>
      <protection locked="true" hidden="false"/>
    </xf>
    <xf numFmtId="168" fontId="5" fillId="0" borderId="0" xfId="0" applyFont="true" applyBorder="false" applyAlignment="true" applyProtection="false">
      <alignment horizontal="general" vertical="bottom" textRotation="0" wrapText="false" indent="0" shrinkToFit="false"/>
      <protection locked="true" hidden="false"/>
    </xf>
    <xf numFmtId="169" fontId="5" fillId="0" borderId="0" xfId="0" applyFont="true" applyBorder="false" applyAlignment="true" applyProtection="false">
      <alignment horizontal="general" vertical="bottom" textRotation="0" wrapText="false" indent="0" shrinkToFit="false"/>
      <protection locked="true" hidden="false"/>
    </xf>
    <xf numFmtId="165" fontId="6" fillId="6" borderId="0" xfId="0" applyFont="true" applyBorder="false" applyAlignment="true" applyProtection="false">
      <alignment horizontal="general" vertical="bottom" textRotation="0" wrapText="false" indent="0" shrinkToFit="false"/>
      <protection locked="true" hidden="false"/>
    </xf>
    <xf numFmtId="168" fontId="6" fillId="6" borderId="0" xfId="0" applyFont="true" applyBorder="false" applyAlignment="true" applyProtection="false">
      <alignment horizontal="general" vertical="bottom" textRotation="0" wrapText="false" indent="0" shrinkToFit="false"/>
      <protection locked="true" hidden="false"/>
    </xf>
    <xf numFmtId="167" fontId="6" fillId="6" borderId="0" xfId="0" applyFont="true" applyBorder="false" applyAlignment="true" applyProtection="false">
      <alignment horizontal="general" vertical="bottom" textRotation="0" wrapText="false" indent="0" shrinkToFit="false"/>
      <protection locked="true" hidden="false"/>
    </xf>
    <xf numFmtId="166" fontId="6" fillId="6" borderId="0" xfId="0" applyFont="true" applyBorder="false" applyAlignment="true" applyProtection="false">
      <alignment horizontal="general" vertical="bottom" textRotation="0" wrapText="false" indent="0" shrinkToFit="false"/>
      <protection locked="true" hidden="false"/>
    </xf>
    <xf numFmtId="170" fontId="6" fillId="6" borderId="0" xfId="0" applyFont="true" applyBorder="false" applyAlignment="true" applyProtection="false">
      <alignment horizontal="general" vertical="bottom" textRotation="0" wrapText="false" indent="0" shrinkToFit="false"/>
      <protection locked="true" hidden="false"/>
    </xf>
    <xf numFmtId="169" fontId="6" fillId="6" borderId="0" xfId="0" applyFont="true" applyBorder="false" applyAlignment="true" applyProtection="false">
      <alignment horizontal="general" vertical="bottom" textRotation="0" wrapText="false" indent="0" shrinkToFit="false"/>
      <protection locked="true" hidden="false"/>
    </xf>
    <xf numFmtId="164" fontId="6" fillId="8" borderId="0" xfId="0" applyFont="true" applyBorder="false" applyAlignment="true" applyProtection="false">
      <alignment horizontal="general" vertical="bottom" textRotation="0" wrapText="false" indent="0" shrinkToFit="false"/>
      <protection locked="true" hidden="false"/>
    </xf>
    <xf numFmtId="164" fontId="5" fillId="6" borderId="0" xfId="0" applyFont="true" applyBorder="false" applyAlignment="true" applyProtection="false">
      <alignment horizontal="general" vertical="bottom" textRotation="0" wrapText="false" indent="0" shrinkToFit="false"/>
      <protection locked="true" hidden="false"/>
    </xf>
    <xf numFmtId="170" fontId="5" fillId="6" borderId="0" xfId="0" applyFont="true" applyBorder="false" applyAlignment="true" applyProtection="false">
      <alignment horizontal="general" vertical="bottom" textRotation="0" wrapText="false" indent="0" shrinkToFit="false"/>
      <protection locked="true" hidden="false"/>
    </xf>
    <xf numFmtId="167" fontId="5" fillId="6" borderId="0" xfId="0" applyFont="true" applyBorder="false" applyAlignment="true" applyProtection="false">
      <alignment horizontal="general" vertical="bottom" textRotation="0" wrapText="false" indent="0" shrinkToFit="false"/>
      <protection locked="true" hidden="false"/>
    </xf>
    <xf numFmtId="169" fontId="5" fillId="6" borderId="0" xfId="0" applyFont="true" applyBorder="false" applyAlignment="true" applyProtection="false">
      <alignment horizontal="general" vertical="bottom" textRotation="0" wrapText="false" indent="0" shrinkToFit="false"/>
      <protection locked="true" hidden="false"/>
    </xf>
    <xf numFmtId="168" fontId="5" fillId="6" borderId="0" xfId="0" applyFont="true" applyBorder="false" applyAlignment="true" applyProtection="false">
      <alignment horizontal="general" vertical="bottom" textRotation="0" wrapText="false" indent="0" shrinkToFit="false"/>
      <protection locked="true" hidden="false"/>
    </xf>
    <xf numFmtId="166" fontId="5" fillId="6" borderId="0" xfId="0" applyFont="true" applyBorder="false" applyAlignment="true" applyProtection="false">
      <alignment horizontal="general" vertical="bottom" textRotation="0" wrapText="false" indent="0" shrinkToFit="false"/>
      <protection locked="true" hidden="false"/>
    </xf>
    <xf numFmtId="165" fontId="12" fillId="10" borderId="0" xfId="0" applyFont="true" applyBorder="false" applyAlignment="true" applyProtection="false">
      <alignment horizontal="general" vertical="bottom" textRotation="0" wrapText="false" indent="0" shrinkToFit="false"/>
      <protection locked="true" hidden="false"/>
    </xf>
    <xf numFmtId="182" fontId="12" fillId="10" borderId="0" xfId="0" applyFont="true" applyBorder="false" applyAlignment="tru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general" vertical="bottom" textRotation="0" wrapText="false" indent="0" shrinkToFit="false"/>
      <protection locked="true" hidden="false"/>
    </xf>
    <xf numFmtId="164" fontId="20" fillId="0" borderId="0" xfId="0" applyFont="true" applyBorder="false" applyAlignment="true" applyProtection="false">
      <alignment horizontal="general" vertical="bottom" textRotation="0" wrapText="false" indent="0" shrinkToFit="false"/>
      <protection locked="true" hidden="false"/>
    </xf>
    <xf numFmtId="164" fontId="21" fillId="0" borderId="0" xfId="0" applyFont="true" applyBorder="false" applyAlignment="true" applyProtection="false">
      <alignment horizontal="general" vertical="bottom" textRotation="0" wrapText="false" indent="0" shrinkToFit="false"/>
      <protection locked="true" hidden="false"/>
    </xf>
    <xf numFmtId="166" fontId="0" fillId="0" borderId="0" xfId="0" applyFont="false" applyBorder="false" applyAlignment="true" applyProtection="false">
      <alignment horizontal="general" vertical="bottom" textRotation="0" wrapText="false" indent="0" shrinkToFit="false"/>
      <protection locked="true" hidden="false"/>
    </xf>
    <xf numFmtId="167" fontId="11" fillId="0" borderId="0" xfId="0" applyFont="true" applyBorder="false" applyAlignment="true" applyProtection="false">
      <alignment horizontal="general" vertical="bottom" textRotation="0" wrapText="false" indent="0" shrinkToFit="false"/>
      <protection locked="true" hidden="false"/>
    </xf>
    <xf numFmtId="164" fontId="7" fillId="4" borderId="0" xfId="0" applyFont="true" applyBorder="false" applyAlignment="true" applyProtection="false">
      <alignment horizontal="general" vertical="top" textRotation="0" wrapText="true" indent="0" shrinkToFit="false"/>
      <protection locked="true" hidden="false"/>
    </xf>
    <xf numFmtId="179" fontId="12" fillId="10" borderId="0" xfId="0" applyFont="true" applyBorder="false" applyAlignment="true" applyProtection="false">
      <alignment horizontal="general" vertical="bottom" textRotation="0" wrapText="false" indent="0" shrinkToFit="false"/>
      <protection locked="true" hidden="false"/>
    </xf>
    <xf numFmtId="179" fontId="6" fillId="0" borderId="0" xfId="0" applyFont="true" applyBorder="false" applyAlignment="true" applyProtection="false">
      <alignment horizontal="general" vertical="bottom" textRotation="0" wrapText="false" indent="0" shrinkToFit="false"/>
      <protection locked="true" hidden="false"/>
    </xf>
    <xf numFmtId="183" fontId="12" fillId="10" borderId="0" xfId="0" applyFont="true" applyBorder="false" applyAlignment="true" applyProtection="false">
      <alignment horizontal="general" vertical="bottom" textRotation="0" wrapText="false" indent="0" shrinkToFit="false"/>
      <protection locked="true" hidden="false"/>
    </xf>
    <xf numFmtId="173" fontId="5" fillId="0" borderId="0" xfId="0" applyFont="true" applyBorder="false" applyAlignment="true" applyProtection="false">
      <alignment horizontal="general" vertical="bottom" textRotation="0" wrapText="false" indent="0" shrinkToFit="false"/>
      <protection locked="true" hidden="false"/>
    </xf>
    <xf numFmtId="178" fontId="12" fillId="0" borderId="0" xfId="0" applyFont="true" applyBorder="false" applyAlignment="true" applyProtection="false">
      <alignment horizontal="general" vertical="bottom" textRotation="0" wrapText="false" indent="0" shrinkToFit="false"/>
      <protection locked="true" hidden="false"/>
    </xf>
    <xf numFmtId="178" fontId="6" fillId="0" borderId="0" xfId="0" applyFont="true" applyBorder="false" applyAlignment="true" applyProtection="false">
      <alignment horizontal="general" vertical="bottom" textRotation="0" wrapText="false" indent="0" shrinkToFit="false"/>
      <protection locked="true" hidden="false"/>
    </xf>
    <xf numFmtId="164" fontId="8" fillId="3" borderId="0" xfId="0" applyFont="true" applyBorder="false" applyAlignment="true" applyProtection="false">
      <alignment horizontal="center" vertical="bottom" textRotation="0" wrapText="true" indent="0" shrinkToFit="false"/>
      <protection locked="true" hidden="false"/>
    </xf>
    <xf numFmtId="178" fontId="5" fillId="0" borderId="0" xfId="0" applyFont="true" applyBorder="false" applyAlignment="true" applyProtection="false">
      <alignment horizontal="general" vertical="bottom" textRotation="0" wrapText="false" indent="0" shrinkToFit="false"/>
      <protection locked="true" hidden="false"/>
    </xf>
    <xf numFmtId="164" fontId="6" fillId="4" borderId="0" xfId="0" applyFont="true" applyBorder="false" applyAlignment="true" applyProtection="false">
      <alignment horizontal="general" vertical="top" textRotation="0" wrapText="true" indent="0" shrinkToFit="false"/>
      <protection locked="true" hidden="false"/>
    </xf>
    <xf numFmtId="164" fontId="6" fillId="9" borderId="0" xfId="0" applyFont="true" applyBorder="false" applyAlignment="true" applyProtection="false">
      <alignment horizontal="general" vertical="bottom" textRotation="0" wrapText="false" indent="0" shrinkToFit="false"/>
      <protection locked="true" hidden="false"/>
    </xf>
    <xf numFmtId="164" fontId="22"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3B3B3"/>
      <rgbColor rgb="FF808080"/>
      <rgbColor rgb="FF9999FF"/>
      <rgbColor rgb="FF993366"/>
      <rgbColor rgb="FFFFF2CC"/>
      <rgbColor rgb="FFDDEBF7"/>
      <rgbColor rgb="FF660066"/>
      <rgbColor rgb="FFFF8080"/>
      <rgbColor rgb="FF0563C1"/>
      <rgbColor rgb="FFD9D9D9"/>
      <rgbColor rgb="FF000080"/>
      <rgbColor rgb="FFFF00FF"/>
      <rgbColor rgb="FFFFFF00"/>
      <rgbColor rgb="FF00FFFF"/>
      <rgbColor rgb="FF800080"/>
      <rgbColor rgb="FF800000"/>
      <rgbColor rgb="FF008080"/>
      <rgbColor rgb="FF0000FF"/>
      <rgbColor rgb="FF00CCFF"/>
      <rgbColor rgb="FFF2F2F2"/>
      <rgbColor rgb="FFEDEDED"/>
      <rgbColor rgb="FFFFEB9C"/>
      <rgbColor rgb="FF99CCFF"/>
      <rgbColor rgb="FFFF99CC"/>
      <rgbColor rgb="FFCC99FF"/>
      <rgbColor rgb="FFFFC7CE"/>
      <rgbColor rgb="FF3366FF"/>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worksheet" Target="worksheets/sheet17.xml"/><Relationship Id="rId20" Type="http://schemas.openxmlformats.org/officeDocument/2006/relationships/worksheet" Target="worksheets/sheet18.xml"/><Relationship Id="rId21" Type="http://schemas.openxmlformats.org/officeDocument/2006/relationships/sharedStrings" Target="sharedStrings.xml"/>
</Relationships>
</file>

<file path=xl/charts/_rels/chart1.xml.rels><?xml version="1.0" encoding="UTF-8"?>
<Relationships xmlns="http://schemas.openxmlformats.org/package/2006/relationships"><Relationship Id="rId1" Type="http://schemas.microsoft.com/office/2011/relationships/chartStyle" Target="style1.xml"/><Relationship Id="rId2" Type="http://schemas.microsoft.com/office/2011/relationships/chartColorStyle" Target="colors1.xml"/>
</Relationships>
</file>

<file path=xl/charts/_rels/chart2.xml.rels><?xml version="1.0" encoding="UTF-8"?>
<Relationships xmlns="http://schemas.openxmlformats.org/package/2006/relationships"><Relationship Id="rId1" Type="http://schemas.microsoft.com/office/2011/relationships/chartStyle" Target="style2.xml"/><Relationship Id="rId2" Type="http://schemas.microsoft.com/office/2011/relationships/chartColorStyle" Target="colors2.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sz="1300" b="0" u="none" strike="noStrike">
                <a:uFillTx/>
                <a:latin typeface="Arial"/>
              </a:defRPr>
            </a:pPr>
            <a:r>
              <a:rPr sz="1800" b="1" u="none" strike="noStrike">
                <a:solidFill>
                  <a:srgbClr val="000000"/>
                </a:solidFill>
                <a:uFillTx/>
                <a:latin typeface="Calibri"/>
              </a:rPr>
              <a:t>NPV at 8.5%</a:t>
            </a:r>
          </a:p>
        </c:rich>
      </c:tx>
      <c:overlay val="0"/>
      <c:spPr>
        <a:noFill/>
        <a:ln w="0">
          <a:noFill/>
        </a:ln>
      </c:spPr>
    </c:title>
    <c:autoTitleDeleted val="0"/>
    <c:plotArea>
      <c:lineChart>
        <c:grouping val="standard"/>
        <c:varyColors val="0"/>
        <c:ser>
          <c:idx val="0"/>
          <c:order val="0"/>
          <c:tx>
            <c:strRef>
              <c:f>FleetSweep!Q7</c:f>
              <c:strCache>
                <c:ptCount val="1"/>
                <c:pt idx="0">
                  <c:v>Grant: NPV at 8.5%</c:v>
                </c:pt>
              </c:strCache>
            </c:strRef>
          </c:tx>
          <c:spPr>
            <a:ln w="0">
              <a:solidFill>
                <a:srgbClr val="FFFFFF"/>
              </a:solidFill>
            </a:ln>
          </c:spPr>
          <c:marker>
            <c:symbol val="none"/>
          </c:marker>
          <c:dLbls>
            <c:txPr>
              <a:bodyPr wrap="square"/>
              <a:lstStyle/>
              <a:p>
                <a:pPr>
                  <a:defRPr sz="1000" b="0" u="none" strike="noStrike">
                    <a:solidFill>
                      <a:srgbClr val="000000"/>
                    </a:solidFill>
                    <a:uFillTx/>
                    <a:latin typeface="Arial"/>
                  </a:defRPr>
                </a:pPr>
              </a:p>
            </c:txPr>
            <c:dLblPos val="r"/>
            <c:showLegendKey val="0"/>
            <c:showVal val="0"/>
            <c:showCatName val="0"/>
            <c:showSerName val="0"/>
            <c:showPercent val="0"/>
            <c:separator>; </c:separator>
            <c:extLst>
              <c:ext xmlns:c15="http://schemas.microsoft.com/office/drawing/2012/chart" uri="{CE6537A1-D6FC-4f65-9D91-7224C49458BB}">
                <c15:showLeaderLines val="1"/>
              </c:ext>
            </c:extLst>
          </c:dLbls>
          <c:cat>
            <c:strRef>
              <c:f>FleetSweep!$A$8:$A$23</c:f>
              <c:strCache>
                <c:ptCount val="16"/>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strCache>
            </c:strRef>
          </c:cat>
          <c:val>
            <c:numRef>
              <c:f>FleetSweep!$Q$8:$Q$23</c:f>
              <c:numCache>
                <c:formatCode>\$#,##0;"($"#,##0\);\-</c:formatCode>
                <c:ptCount val="16"/>
                <c:pt idx="0">
                  <c:v>1587673.85368805</c:v>
                </c:pt>
                <c:pt idx="1">
                  <c:v>1560935.47127452</c:v>
                </c:pt>
                <c:pt idx="2">
                  <c:v>1850993.43998135</c:v>
                </c:pt>
                <c:pt idx="3">
                  <c:v>2238955.90725554</c:v>
                </c:pt>
                <c:pt idx="4">
                  <c:v>2255815.66347384</c:v>
                </c:pt>
                <c:pt idx="5">
                  <c:v>2531992.10179265</c:v>
                </c:pt>
                <c:pt idx="6">
                  <c:v>2957561.88433468</c:v>
                </c:pt>
                <c:pt idx="7">
                  <c:v>2984089.13493037</c:v>
                </c:pt>
                <c:pt idx="8">
                  <c:v>3355833.08315186</c:v>
                </c:pt>
                <c:pt idx="9">
                  <c:v>3629810.02072251</c:v>
                </c:pt>
                <c:pt idx="10">
                  <c:v>3658973.86069384</c:v>
                </c:pt>
                <c:pt idx="11">
                  <c:v>3947663.90415788</c:v>
                </c:pt>
                <c:pt idx="12">
                  <c:v>4207976.90115544</c:v>
                </c:pt>
                <c:pt idx="13">
                  <c:v>4231737.87401108</c:v>
                </c:pt>
                <c:pt idx="14">
                  <c:v>4500340.79804251</c:v>
                </c:pt>
                <c:pt idx="15">
                  <c:v>4826408.94629407</c:v>
                </c:pt>
              </c:numCache>
            </c:numRef>
          </c:val>
          <c:smooth val="1"/>
        </c:ser>
        <c:ser>
          <c:idx val="1"/>
          <c:order val="1"/>
          <c:tx>
            <c:strRef>
              <c:f>FleetSweep!W7</c:f>
              <c:strCache>
                <c:ptCount val="1"/>
                <c:pt idx="0">
                  <c:v>Financed: NPV at 8.5%</c:v>
                </c:pt>
              </c:strCache>
            </c:strRef>
          </c:tx>
          <c:spPr>
            <a:ln w="0">
              <a:solidFill>
                <a:srgbClr val="FFFFFF"/>
              </a:solidFill>
            </a:ln>
          </c:spPr>
          <c:marker>
            <c:symbol val="none"/>
          </c:marker>
          <c:dLbls>
            <c:txPr>
              <a:bodyPr wrap="square"/>
              <a:lstStyle/>
              <a:p>
                <a:pPr>
                  <a:defRPr sz="1000" b="0" u="none" strike="noStrike">
                    <a:solidFill>
                      <a:srgbClr val="000000"/>
                    </a:solidFill>
                    <a:uFillTx/>
                    <a:latin typeface="Arial"/>
                  </a:defRPr>
                </a:pPr>
              </a:p>
            </c:txPr>
            <c:dLblPos val="r"/>
            <c:showLegendKey val="0"/>
            <c:showVal val="0"/>
            <c:showCatName val="0"/>
            <c:showSerName val="0"/>
            <c:showPercent val="0"/>
            <c:separator>; </c:separator>
            <c:extLst>
              <c:ext xmlns:c15="http://schemas.microsoft.com/office/drawing/2012/chart" uri="{CE6537A1-D6FC-4f65-9D91-7224C49458BB}">
                <c15:showLeaderLines val="1"/>
              </c:ext>
            </c:extLst>
          </c:dLbls>
          <c:cat>
            <c:strRef>
              <c:f>FleetSweep!$A$8:$A$23</c:f>
              <c:strCache>
                <c:ptCount val="16"/>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strCache>
            </c:strRef>
          </c:cat>
          <c:val>
            <c:numRef>
              <c:f>FleetSweep!$W$8:$W$23</c:f>
              <c:numCache>
                <c:formatCode>\$#,##0;"($"#,##0\);\-</c:formatCode>
                <c:ptCount val="16"/>
                <c:pt idx="0">
                  <c:v>517339.160453134</c:v>
                </c:pt>
                <c:pt idx="1">
                  <c:v>490600.778039598</c:v>
                </c:pt>
                <c:pt idx="2">
                  <c:v>780658.746746435</c:v>
                </c:pt>
                <c:pt idx="3">
                  <c:v>1168621.21402061</c:v>
                </c:pt>
                <c:pt idx="4">
                  <c:v>1185480.97023892</c:v>
                </c:pt>
                <c:pt idx="5">
                  <c:v>1461657.40855773</c:v>
                </c:pt>
                <c:pt idx="6">
                  <c:v>1887227.19109976</c:v>
                </c:pt>
                <c:pt idx="7">
                  <c:v>1913754.44169545</c:v>
                </c:pt>
                <c:pt idx="8">
                  <c:v>2285498.38991695</c:v>
                </c:pt>
                <c:pt idx="9">
                  <c:v>2559475.32748759</c:v>
                </c:pt>
                <c:pt idx="10">
                  <c:v>2588639.16745892</c:v>
                </c:pt>
                <c:pt idx="11">
                  <c:v>2877329.21092296</c:v>
                </c:pt>
                <c:pt idx="12">
                  <c:v>3112855.54867612</c:v>
                </c:pt>
                <c:pt idx="13">
                  <c:v>3111829.86228737</c:v>
                </c:pt>
                <c:pt idx="14">
                  <c:v>3326466.65214543</c:v>
                </c:pt>
                <c:pt idx="15">
                  <c:v>3569389.19129463</c:v>
                </c:pt>
              </c:numCache>
            </c:numRef>
          </c:val>
          <c:smooth val="1"/>
        </c:ser>
        <c:hiLowLines>
          <c:spPr>
            <a:ln w="0">
              <a:noFill/>
            </a:ln>
          </c:spPr>
        </c:hiLowLines>
        <c:marker val="0"/>
        <c:axId val="37011228"/>
        <c:axId val="15485966"/>
      </c:lineChart>
      <c:catAx>
        <c:axId val="37011228"/>
        <c:scaling>
          <c:orientation val="minMax"/>
        </c:scaling>
        <c:delete val="0"/>
        <c:axPos val="b"/>
        <c:title>
          <c:tx>
            <c:rich>
              <a:bodyPr rot="0"/>
              <a:lstStyle/>
              <a:p>
                <a:pPr>
                  <a:defRPr sz="1300" b="0" u="none" strike="noStrike">
                    <a:uFillTx/>
                    <a:latin typeface="Arial"/>
                  </a:defRPr>
                </a:pPr>
                <a:r>
                  <a:rPr sz="1000" b="1" u="none" strike="noStrike">
                    <a:solidFill>
                      <a:srgbClr val="000000"/>
                    </a:solidFill>
                    <a:uFillTx/>
                    <a:latin typeface="Calibri"/>
                  </a:rPr>
                  <a:t>Servers (year 4)</a:t>
                </a:r>
              </a:p>
            </c:rich>
          </c:tx>
          <c:overlay val="0"/>
          <c:spPr>
            <a:noFill/>
            <a:ln w="0">
              <a:noFill/>
            </a:ln>
          </c:spPr>
        </c:title>
        <c:numFmt formatCode="0" sourceLinked="0"/>
        <c:majorTickMark val="none"/>
        <c:minorTickMark val="none"/>
        <c:tickLblPos val="nextTo"/>
        <c:spPr>
          <a:ln w="0">
            <a:solidFill>
              <a:srgbClr val="B3B3B3"/>
            </a:solidFill>
          </a:ln>
        </c:spPr>
        <c:txPr>
          <a:bodyPr/>
          <a:lstStyle/>
          <a:p>
            <a:pPr>
              <a:defRPr sz="1000" b="0" u="none" strike="noStrike">
                <a:solidFill>
                  <a:srgbClr val="000000"/>
                </a:solidFill>
                <a:uFillTx/>
                <a:latin typeface="Calibri"/>
              </a:defRPr>
            </a:pPr>
          </a:p>
        </c:txPr>
        <c:crossAx val="15485966"/>
        <c:crosses val="autoZero"/>
        <c:auto val="1"/>
        <c:lblAlgn val="ctr"/>
        <c:lblOffset val="100"/>
        <c:noMultiLvlLbl val="0"/>
      </c:catAx>
      <c:valAx>
        <c:axId val="15485966"/>
        <c:scaling>
          <c:orientation val="minMax"/>
        </c:scaling>
        <c:delete val="0"/>
        <c:axPos val="l"/>
        <c:majorGridlines>
          <c:spPr>
            <a:ln w="0">
              <a:solidFill>
                <a:srgbClr val="B3B3B3"/>
              </a:solidFill>
            </a:ln>
          </c:spPr>
        </c:majorGridlines>
        <c:title>
          <c:tx>
            <c:rich>
              <a:bodyPr rot="-5400000"/>
              <a:lstStyle/>
              <a:p>
                <a:pPr>
                  <a:defRPr sz="1300" b="0" u="none" strike="noStrike">
                    <a:uFillTx/>
                    <a:latin typeface="Arial"/>
                  </a:defRPr>
                </a:pPr>
                <a:r>
                  <a:rPr sz="1000" b="1" u="none" strike="noStrike">
                    <a:solidFill>
                      <a:srgbClr val="000000"/>
                    </a:solidFill>
                    <a:uFillTx/>
                    <a:latin typeface="Calibri"/>
                  </a:rPr>
                  <a:t>NPV ($)</a:t>
                </a:r>
              </a:p>
            </c:rich>
          </c:tx>
          <c:overlay val="0"/>
          <c:spPr>
            <a:noFill/>
            <a:ln w="0">
              <a:noFill/>
            </a:ln>
          </c:spPr>
        </c:title>
        <c:numFmt formatCode="\$#,##0;&quot;($&quot;#,##0\);\-" sourceLinked="0"/>
        <c:majorTickMark val="none"/>
        <c:minorTickMark val="none"/>
        <c:tickLblPos val="nextTo"/>
        <c:spPr>
          <a:ln w="0">
            <a:solidFill>
              <a:srgbClr val="B3B3B3"/>
            </a:solidFill>
          </a:ln>
        </c:spPr>
        <c:txPr>
          <a:bodyPr/>
          <a:lstStyle/>
          <a:p>
            <a:pPr>
              <a:defRPr sz="1000" b="0" u="none" strike="noStrike">
                <a:solidFill>
                  <a:srgbClr val="000000"/>
                </a:solidFill>
                <a:uFillTx/>
                <a:latin typeface="Calibri"/>
              </a:defRPr>
            </a:pPr>
          </a:p>
        </c:txPr>
        <c:crossAx val="37011228"/>
        <c:crosses val="autoZero"/>
        <c:crossBetween val="between"/>
      </c:valAx>
      <c:spPr>
        <a:ln w="0">
          <a:noFill/>
        </a:ln>
      </c:spPr>
    </c:plotArea>
    <c:legend>
      <c:legendPos val="r"/>
      <c:overlay val="0"/>
      <c:spPr>
        <a:noFill/>
        <a:ln w="0">
          <a:noFill/>
        </a:ln>
      </c:spPr>
      <c:txPr>
        <a:bodyPr/>
        <a:lstStyle/>
        <a:p>
          <a:pPr>
            <a:defRPr sz="1000" b="0" u="none" strike="noStrike">
              <a:solidFill>
                <a:srgbClr val="000000"/>
              </a:solidFill>
              <a:uFillTx/>
              <a:latin typeface="Calibri"/>
            </a:defRPr>
          </a:pPr>
        </a:p>
      </c:txPr>
    </c:legend>
    <c:plotVisOnly val="1"/>
    <c:dispBlanksAs val="gap"/>
  </c:chart>
  <c:spPr>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sz="1300" b="0" u="none" strike="noStrike">
                <a:uFillTx/>
                <a:latin typeface="Arial"/>
              </a:defRPr>
            </a:pPr>
            <a:r>
              <a:rPr sz="1800" b="1" u="none" strike="noStrike">
                <a:solidFill>
                  <a:srgbClr val="000000"/>
                </a:solidFill>
                <a:uFillTx/>
                <a:latin typeface="Calibri"/>
              </a:rPr>
              <a:t>NPV at 8.5%</a:t>
            </a:r>
          </a:p>
        </c:rich>
      </c:tx>
      <c:overlay val="0"/>
      <c:spPr>
        <a:noFill/>
        <a:ln w="0">
          <a:noFill/>
        </a:ln>
      </c:spPr>
    </c:title>
    <c:autoTitleDeleted val="0"/>
    <c:plotArea>
      <c:lineChart>
        <c:grouping val="standard"/>
        <c:varyColors val="0"/>
        <c:ser>
          <c:idx val="0"/>
          <c:order val="0"/>
          <c:tx>
            <c:strRef>
              <c:f>LaunchRamp!Q7</c:f>
              <c:strCache>
                <c:ptCount val="1"/>
                <c:pt idx="0">
                  <c:v>Grant: NPV at 8.5%</c:v>
                </c:pt>
              </c:strCache>
            </c:strRef>
          </c:tx>
          <c:spPr>
            <a:ln w="0">
              <a:solidFill>
                <a:srgbClr val="FFFFFF"/>
              </a:solidFill>
            </a:ln>
          </c:spPr>
          <c:marker>
            <c:symbol val="none"/>
          </c:marker>
          <c:dLbls>
            <c:txPr>
              <a:bodyPr wrap="square"/>
              <a:lstStyle/>
              <a:p>
                <a:pPr>
                  <a:defRPr sz="1000" b="0" u="none" strike="noStrike">
                    <a:solidFill>
                      <a:srgbClr val="000000"/>
                    </a:solidFill>
                    <a:uFillTx/>
                    <a:latin typeface="Arial"/>
                  </a:defRPr>
                </a:pPr>
              </a:p>
            </c:txPr>
            <c:dLblPos val="r"/>
            <c:showLegendKey val="0"/>
            <c:showVal val="0"/>
            <c:showCatName val="0"/>
            <c:showSerName val="0"/>
            <c:showPercent val="0"/>
            <c:separator>; </c:separator>
            <c:extLst>
              <c:ext xmlns:c15="http://schemas.microsoft.com/office/drawing/2012/chart" uri="{CE6537A1-D6FC-4f65-9D91-7224C49458BB}">
                <c15:showLeaderLines val="1"/>
              </c:ext>
            </c:extLst>
          </c:dLbls>
          <c:cat>
            <c:strRef>
              <c:f>LaunchRamp!$A$8:$A$19</c:f>
              <c:strCache>
                <c:ptCount val="12"/>
                <c:pt idx="0">
                  <c:v>1</c:v>
                </c:pt>
                <c:pt idx="1">
                  <c:v>2</c:v>
                </c:pt>
                <c:pt idx="2">
                  <c:v>3</c:v>
                </c:pt>
                <c:pt idx="3">
                  <c:v>4</c:v>
                </c:pt>
                <c:pt idx="4">
                  <c:v>5</c:v>
                </c:pt>
                <c:pt idx="5">
                  <c:v>6</c:v>
                </c:pt>
                <c:pt idx="6">
                  <c:v>7</c:v>
                </c:pt>
                <c:pt idx="7">
                  <c:v>8</c:v>
                </c:pt>
                <c:pt idx="8">
                  <c:v>9</c:v>
                </c:pt>
                <c:pt idx="9">
                  <c:v>10</c:v>
                </c:pt>
                <c:pt idx="10">
                  <c:v>11</c:v>
                </c:pt>
                <c:pt idx="11">
                  <c:v>12</c:v>
                </c:pt>
              </c:strCache>
            </c:strRef>
          </c:cat>
          <c:val>
            <c:numRef>
              <c:f>LaunchRamp!$Q$8:$Q$19</c:f>
              <c:numCache>
                <c:formatCode>\$#,##0;"($"#,##0\);\-</c:formatCode>
                <c:ptCount val="12"/>
                <c:pt idx="0">
                  <c:v>2503905.40790509</c:v>
                </c:pt>
                <c:pt idx="1">
                  <c:v>2735362.64292985</c:v>
                </c:pt>
                <c:pt idx="2">
                  <c:v>2904573.14308988</c:v>
                </c:pt>
                <c:pt idx="3">
                  <c:v>3059371.20085359</c:v>
                </c:pt>
                <c:pt idx="4">
                  <c:v>3296700.24661657</c:v>
                </c:pt>
                <c:pt idx="5">
                  <c:v>3465910.7467766</c:v>
                </c:pt>
                <c:pt idx="6">
                  <c:v>3620708.80454031</c:v>
                </c:pt>
                <c:pt idx="7">
                  <c:v>3872949.39661237</c:v>
                </c:pt>
                <c:pt idx="8">
                  <c:v>4027747.45437608</c:v>
                </c:pt>
                <c:pt idx="9">
                  <c:v>4182545.51213979</c:v>
                </c:pt>
                <c:pt idx="10">
                  <c:v>4428415.18956086</c:v>
                </c:pt>
                <c:pt idx="11">
                  <c:v>4583213.24732458</c:v>
                </c:pt>
              </c:numCache>
            </c:numRef>
          </c:val>
          <c:smooth val="1"/>
        </c:ser>
        <c:ser>
          <c:idx val="1"/>
          <c:order val="1"/>
          <c:tx>
            <c:strRef>
              <c:f>LaunchRamp!W7</c:f>
              <c:strCache>
                <c:ptCount val="1"/>
                <c:pt idx="0">
                  <c:v>Financed: NPV at 8.5%</c:v>
                </c:pt>
              </c:strCache>
            </c:strRef>
          </c:tx>
          <c:spPr>
            <a:ln w="0">
              <a:solidFill>
                <a:srgbClr val="FFFFFF"/>
              </a:solidFill>
            </a:ln>
          </c:spPr>
          <c:marker>
            <c:symbol val="none"/>
          </c:marker>
          <c:dLbls>
            <c:txPr>
              <a:bodyPr wrap="square"/>
              <a:lstStyle/>
              <a:p>
                <a:pPr>
                  <a:defRPr sz="1000" b="0" u="none" strike="noStrike">
                    <a:solidFill>
                      <a:srgbClr val="000000"/>
                    </a:solidFill>
                    <a:uFillTx/>
                    <a:latin typeface="Arial"/>
                  </a:defRPr>
                </a:pPr>
              </a:p>
            </c:txPr>
            <c:dLblPos val="r"/>
            <c:showLegendKey val="0"/>
            <c:showVal val="0"/>
            <c:showCatName val="0"/>
            <c:showSerName val="0"/>
            <c:showPercent val="0"/>
            <c:separator>; </c:separator>
            <c:extLst>
              <c:ext xmlns:c15="http://schemas.microsoft.com/office/drawing/2012/chart" uri="{CE6537A1-D6FC-4f65-9D91-7224C49458BB}">
                <c15:showLeaderLines val="1"/>
              </c:ext>
            </c:extLst>
          </c:dLbls>
          <c:cat>
            <c:strRef>
              <c:f>LaunchRamp!$A$8:$A$19</c:f>
              <c:strCache>
                <c:ptCount val="12"/>
                <c:pt idx="0">
                  <c:v>1</c:v>
                </c:pt>
                <c:pt idx="1">
                  <c:v>2</c:v>
                </c:pt>
                <c:pt idx="2">
                  <c:v>3</c:v>
                </c:pt>
                <c:pt idx="3">
                  <c:v>4</c:v>
                </c:pt>
                <c:pt idx="4">
                  <c:v>5</c:v>
                </c:pt>
                <c:pt idx="5">
                  <c:v>6</c:v>
                </c:pt>
                <c:pt idx="6">
                  <c:v>7</c:v>
                </c:pt>
                <c:pt idx="7">
                  <c:v>8</c:v>
                </c:pt>
                <c:pt idx="8">
                  <c:v>9</c:v>
                </c:pt>
                <c:pt idx="9">
                  <c:v>10</c:v>
                </c:pt>
                <c:pt idx="10">
                  <c:v>11</c:v>
                </c:pt>
                <c:pt idx="11">
                  <c:v>12</c:v>
                </c:pt>
              </c:strCache>
            </c:strRef>
          </c:cat>
          <c:val>
            <c:numRef>
              <c:f>LaunchRamp!$W$8:$W$19</c:f>
              <c:numCache>
                <c:formatCode>\$#,##0;"($"#,##0\);\-</c:formatCode>
                <c:ptCount val="12"/>
                <c:pt idx="0">
                  <c:v>1433570.71467017</c:v>
                </c:pt>
                <c:pt idx="1">
                  <c:v>1665027.94969493</c:v>
                </c:pt>
                <c:pt idx="2">
                  <c:v>1834238.44985495</c:v>
                </c:pt>
                <c:pt idx="3">
                  <c:v>1989036.50761867</c:v>
                </c:pt>
                <c:pt idx="4">
                  <c:v>2226365.55338166</c:v>
                </c:pt>
                <c:pt idx="5">
                  <c:v>2395576.05354168</c:v>
                </c:pt>
                <c:pt idx="6">
                  <c:v>2550374.11130539</c:v>
                </c:pt>
                <c:pt idx="7">
                  <c:v>2802614.70337745</c:v>
                </c:pt>
                <c:pt idx="8">
                  <c:v>2957412.76114116</c:v>
                </c:pt>
                <c:pt idx="9">
                  <c:v>3112210.81890487</c:v>
                </c:pt>
                <c:pt idx="10">
                  <c:v>3358080.49632595</c:v>
                </c:pt>
                <c:pt idx="11">
                  <c:v>3512878.55408966</c:v>
                </c:pt>
              </c:numCache>
            </c:numRef>
          </c:val>
          <c:smooth val="1"/>
        </c:ser>
        <c:hiLowLines>
          <c:spPr>
            <a:ln w="0">
              <a:noFill/>
            </a:ln>
          </c:spPr>
        </c:hiLowLines>
        <c:marker val="0"/>
        <c:axId val="92556910"/>
        <c:axId val="95173900"/>
      </c:lineChart>
      <c:catAx>
        <c:axId val="92556910"/>
        <c:scaling>
          <c:orientation val="minMax"/>
        </c:scaling>
        <c:delete val="0"/>
        <c:axPos val="b"/>
        <c:title>
          <c:tx>
            <c:rich>
              <a:bodyPr rot="0"/>
              <a:lstStyle/>
              <a:p>
                <a:pPr>
                  <a:defRPr sz="1300" b="0" u="none" strike="noStrike">
                    <a:uFillTx/>
                    <a:latin typeface="Arial"/>
                  </a:defRPr>
                </a:pPr>
                <a:r>
                  <a:rPr sz="1000" b="1" u="none" strike="noStrike">
                    <a:solidFill>
                      <a:srgbClr val="000000"/>
                    </a:solidFill>
                    <a:uFillTx/>
                    <a:latin typeface="Calibri"/>
                  </a:rPr>
                  <a:t>Servers at launch</a:t>
                </a:r>
              </a:p>
            </c:rich>
          </c:tx>
          <c:overlay val="0"/>
          <c:spPr>
            <a:noFill/>
            <a:ln w="0">
              <a:noFill/>
            </a:ln>
          </c:spPr>
        </c:title>
        <c:numFmt formatCode="0" sourceLinked="0"/>
        <c:majorTickMark val="none"/>
        <c:minorTickMark val="none"/>
        <c:tickLblPos val="nextTo"/>
        <c:spPr>
          <a:ln w="0">
            <a:solidFill>
              <a:srgbClr val="B3B3B3"/>
            </a:solidFill>
          </a:ln>
        </c:spPr>
        <c:txPr>
          <a:bodyPr/>
          <a:lstStyle/>
          <a:p>
            <a:pPr>
              <a:defRPr sz="1000" b="0" u="none" strike="noStrike">
                <a:solidFill>
                  <a:srgbClr val="000000"/>
                </a:solidFill>
                <a:uFillTx/>
                <a:latin typeface="Calibri"/>
              </a:defRPr>
            </a:pPr>
          </a:p>
        </c:txPr>
        <c:crossAx val="95173900"/>
        <c:crosses val="autoZero"/>
        <c:auto val="1"/>
        <c:lblAlgn val="ctr"/>
        <c:lblOffset val="100"/>
        <c:noMultiLvlLbl val="0"/>
      </c:catAx>
      <c:valAx>
        <c:axId val="95173900"/>
        <c:scaling>
          <c:orientation val="minMax"/>
        </c:scaling>
        <c:delete val="0"/>
        <c:axPos val="l"/>
        <c:majorGridlines>
          <c:spPr>
            <a:ln w="0">
              <a:solidFill>
                <a:srgbClr val="B3B3B3"/>
              </a:solidFill>
            </a:ln>
          </c:spPr>
        </c:majorGridlines>
        <c:title>
          <c:tx>
            <c:rich>
              <a:bodyPr rot="-5400000"/>
              <a:lstStyle/>
              <a:p>
                <a:pPr>
                  <a:defRPr sz="1300" b="0" u="none" strike="noStrike">
                    <a:uFillTx/>
                    <a:latin typeface="Arial"/>
                  </a:defRPr>
                </a:pPr>
                <a:r>
                  <a:rPr sz="1000" b="1" u="none" strike="noStrike">
                    <a:solidFill>
                      <a:srgbClr val="000000"/>
                    </a:solidFill>
                    <a:uFillTx/>
                    <a:latin typeface="Calibri"/>
                  </a:rPr>
                  <a:t>NPV ($)</a:t>
                </a:r>
              </a:p>
            </c:rich>
          </c:tx>
          <c:overlay val="0"/>
          <c:spPr>
            <a:noFill/>
            <a:ln w="0">
              <a:noFill/>
            </a:ln>
          </c:spPr>
        </c:title>
        <c:numFmt formatCode="\$#,##0;&quot;($&quot;#,##0\);\-" sourceLinked="0"/>
        <c:majorTickMark val="none"/>
        <c:minorTickMark val="none"/>
        <c:tickLblPos val="nextTo"/>
        <c:spPr>
          <a:ln w="0">
            <a:solidFill>
              <a:srgbClr val="B3B3B3"/>
            </a:solidFill>
          </a:ln>
        </c:spPr>
        <c:txPr>
          <a:bodyPr/>
          <a:lstStyle/>
          <a:p>
            <a:pPr>
              <a:defRPr sz="1000" b="0" u="none" strike="noStrike">
                <a:solidFill>
                  <a:srgbClr val="000000"/>
                </a:solidFill>
                <a:uFillTx/>
                <a:latin typeface="Calibri"/>
              </a:defRPr>
            </a:pPr>
          </a:p>
        </c:txPr>
        <c:crossAx val="92556910"/>
        <c:crosses val="autoZero"/>
        <c:crossBetween val="between"/>
      </c:valAx>
      <c:spPr>
        <a:ln w="0">
          <a:noFill/>
        </a:ln>
      </c:spPr>
    </c:plotArea>
    <c:legend>
      <c:legendPos val="r"/>
      <c:overlay val="0"/>
      <c:spPr>
        <a:noFill/>
        <a:ln w="0">
          <a:noFill/>
        </a:ln>
      </c:spPr>
      <c:txPr>
        <a:bodyPr/>
        <a:lstStyle/>
        <a:p>
          <a:pPr>
            <a:defRPr sz="1000" b="0" u="none" strike="noStrike">
              <a:solidFill>
                <a:srgbClr val="000000"/>
              </a:solidFill>
              <a:uFillTx/>
              <a:latin typeface="Calibri"/>
            </a:defRPr>
          </a:pPr>
        </a:p>
      </c:txPr>
    </c:legend>
    <c:plotVisOnly val="1"/>
    <c:dispBlanksAs val="gap"/>
  </c:chart>
  <c:spPr>
    <a:ln w="9360">
      <a:solidFill>
        <a:srgbClr val="D9D9D9"/>
      </a:solidFill>
      <a:round/>
    </a:ln>
  </c:sp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colorStyle>
</file>

<file path=xl/charts/style1.xml><?xml version="1.0" encoding="utf-8"?>
<cs:chartStyle xmlns:cs="http://schemas.microsoft.com/office/drawing/2012/chartStyle" xmlns:a="http://schemas.openxmlformats.org/drawingml/2006/main" id="419">
  <cs:axisTitle>
    <cs:lnRef idx="0"/>
    <cs:fillRef idx="0"/>
    <cs:effectRef idx="0"/>
    <cs:fontRef idx="minor"/>
  </cs:axisTitle>
  <cs:categoryAxis>
    <cs:lnRef idx="0"/>
    <cs:fillRef idx="0"/>
    <cs:effectRef idx="0"/>
    <cs:fontRef idx="minor"/>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chartArea>
  <cs:dataLabel>
    <cs:lnRef idx="0"/>
    <cs:fillRef idx="0"/>
    <cs:effectRef idx="0"/>
    <cs:fontRef idx="minor"/>
  </cs:dataLabel>
  <cs:dataPoint>
    <cs:lnRef idx="0"/>
    <cs:fillRef idx="0">
      <cs:styleClr val="auto"/>
    </cs:fillRef>
    <cs:effectRef idx="0"/>
    <cs:fontRef idx="minor">
      <cs:schemeClr val="tx1"/>
    </cs:fontRef>
    <cs:spPr>
      <a:solidFill>
        <a:schemeClr val="phClr"/>
      </a:solidFill>
    </cs:spPr>
  </cs:dataPoint>
  <cs:dataPoint3D>
    <cs:lnRef idx="0"/>
    <cs:fillRef idx="0"/>
    <cs:effectRef idx="0"/>
    <cs:fontRef idx="minor"/>
  </cs:dataPoint3D>
  <cs:dataPointLine>
    <cs:lnRef idx="0"/>
    <cs:fillRef idx="0"/>
    <cs:effectRef idx="0"/>
    <cs:fontRef idx="minor"/>
  </cs:dataPointLine>
  <cs:dataPointMarker>
    <cs:lnRef idx="0"/>
    <cs:fillRef idx="0"/>
    <cs:effectRef idx="0"/>
    <cs:fontRef idx="minor"/>
  </cs:dataPointMarker>
  <cs:dataPointMarkerLayout>
    <cs:lnRef idx="0"/>
    <cs:fillRef idx="0"/>
    <cs:effectRef idx="0"/>
    <cs:fontRef idx="minor"/>
  </cs:dataPointMarkerLayout>
  <cs:dataPointWireframe>
    <cs:lnRef idx="0"/>
    <cs:fillRef idx="0"/>
    <cs:effectRef idx="0"/>
    <cs:fontRef idx="minor"/>
  </cs:dataPointWireframe>
  <cs:dataTable>
    <cs:lnRef idx="0"/>
    <cs:fillRef idx="0"/>
    <cs:effectRef idx="0"/>
    <cs:fontRef idx="minor"/>
  </cs:dataTable>
  <cs:downBar>
    <cs:lnRef idx="0"/>
    <cs:fillRef idx="0"/>
    <cs:effectRef idx="0"/>
    <cs:fontRef idx="minor"/>
  </cs:downBar>
  <cs:dropLine>
    <cs:lnRef idx="0"/>
    <cs:fillRef idx="0"/>
    <cs:effectRef idx="0"/>
    <cs:fontRef idx="minor"/>
  </cs:dropLine>
  <cs:errorBar>
    <cs:lnRef idx="0"/>
    <cs:fillRef idx="0"/>
    <cs:effectRef idx="0"/>
    <cs:fontRef idx="minor"/>
  </cs:errorBar>
  <cs:floor>
    <cs:lnRef idx="0"/>
    <cs:fillRef idx="0"/>
    <cs:effectRef idx="0"/>
    <cs:fontRef idx="minor"/>
  </cs:floor>
  <cs:gridlineMajor>
    <cs:lnRef idx="0"/>
    <cs:fillRef idx="0"/>
    <cs:effectRef idx="0"/>
    <cs:fontRef idx="minor"/>
  </cs:gridlineMajor>
  <cs:gridlineMinor>
    <cs:lnRef idx="0"/>
    <cs:fillRef idx="0"/>
    <cs:effectRef idx="0"/>
    <cs:fontRef idx="minor"/>
  </cs:gridlineMinor>
  <cs:hiLoLine>
    <cs:lnRef idx="0"/>
    <cs:fillRef idx="0"/>
    <cs:effectRef idx="0"/>
    <cs:fontRef idx="minor"/>
  </cs:hiLoLine>
  <cs:leaderLine>
    <cs:lnRef idx="0"/>
    <cs:fillRef idx="0"/>
    <cs:effectRef idx="0"/>
    <cs:fontRef idx="minor"/>
  </cs:leaderLine>
  <cs:legend>
    <cs:lnRef idx="0"/>
    <cs:fillRef idx="0"/>
    <cs:effectRef idx="0"/>
    <cs:fontRef idx="minor"/>
  </cs:legend>
  <cs:plotArea>
    <cs:lnRef idx="0"/>
    <cs:fillRef idx="0"/>
    <cs:effectRef idx="0"/>
    <cs:fontRef idx="minor"/>
  </cs:plotArea>
  <cs:plotArea3D>
    <cs:lnRef idx="0"/>
    <cs:fillRef idx="0"/>
    <cs:effectRef idx="0"/>
    <cs:fontRef idx="minor"/>
  </cs:plotArea3D>
  <cs:seriesAxis>
    <cs:lnRef idx="0"/>
    <cs:fillRef idx="0"/>
    <cs:effectRef idx="0"/>
    <cs:fontRef idx="minor"/>
  </cs:seriesAxis>
  <cs:seriesLine>
    <cs:lnRef idx="0"/>
    <cs:fillRef idx="0"/>
    <cs:effectRef idx="0"/>
    <cs:fontRef idx="minor"/>
  </cs:seriesLine>
  <cs:title>
    <cs:lnRef idx="0"/>
    <cs:fillRef idx="0"/>
    <cs:effectRef idx="0"/>
    <cs:fontRef idx="minor"/>
  </cs:title>
  <cs:trendline>
    <cs:lnRef idx="0"/>
    <cs:fillRef idx="0"/>
    <cs:effectRef idx="0"/>
    <cs:fontRef idx="minor"/>
  </cs:trendline>
  <cs:trendlineLabel>
    <cs:lnRef idx="0"/>
    <cs:fillRef idx="0"/>
    <cs:effectRef idx="0"/>
    <cs:fontRef idx="minor"/>
  </cs:trendlineLabel>
  <cs:upBar>
    <cs:lnRef idx="0"/>
    <cs:fillRef idx="0"/>
    <cs:effectRef idx="0"/>
    <cs:fontRef idx="minor"/>
  </cs:upBar>
  <cs:valueAxis>
    <cs:lnRef idx="0"/>
    <cs:fillRef idx="0"/>
    <cs:effectRef idx="0"/>
    <cs:fontRef idx="minor"/>
  </cs:valueAxis>
  <cs:wall>
    <cs:lnRef idx="0"/>
    <cs:fillRef idx="0"/>
    <cs:effectRef idx="0"/>
    <cs:fontRef idx="minor"/>
  </cs:wall>
</cs:chartStyle>
</file>

<file path=xl/charts/style2.xml><?xml version="1.0" encoding="utf-8"?>
<cs:chartStyle xmlns:cs="http://schemas.microsoft.com/office/drawing/2012/chartStyle" xmlns:a="http://schemas.openxmlformats.org/drawingml/2006/main" id="419">
  <cs:axisTitle>
    <cs:lnRef idx="0"/>
    <cs:fillRef idx="0"/>
    <cs:effectRef idx="0"/>
    <cs:fontRef idx="minor"/>
  </cs:axisTitle>
  <cs:categoryAxis>
    <cs:lnRef idx="0"/>
    <cs:fillRef idx="0"/>
    <cs:effectRef idx="0"/>
    <cs:fontRef idx="minor"/>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chartArea>
  <cs:dataLabel>
    <cs:lnRef idx="0"/>
    <cs:fillRef idx="0"/>
    <cs:effectRef idx="0"/>
    <cs:fontRef idx="minor"/>
  </cs:dataLabel>
  <cs:dataPoint>
    <cs:lnRef idx="0"/>
    <cs:fillRef idx="0">
      <cs:styleClr val="auto"/>
    </cs:fillRef>
    <cs:effectRef idx="0"/>
    <cs:fontRef idx="minor">
      <cs:schemeClr val="tx1"/>
    </cs:fontRef>
    <cs:spPr>
      <a:solidFill>
        <a:schemeClr val="phClr"/>
      </a:solidFill>
    </cs:spPr>
  </cs:dataPoint>
  <cs:dataPoint3D>
    <cs:lnRef idx="0"/>
    <cs:fillRef idx="0"/>
    <cs:effectRef idx="0"/>
    <cs:fontRef idx="minor"/>
  </cs:dataPoint3D>
  <cs:dataPointLine>
    <cs:lnRef idx="0"/>
    <cs:fillRef idx="0"/>
    <cs:effectRef idx="0"/>
    <cs:fontRef idx="minor"/>
  </cs:dataPointLine>
  <cs:dataPointMarker>
    <cs:lnRef idx="0"/>
    <cs:fillRef idx="0"/>
    <cs:effectRef idx="0"/>
    <cs:fontRef idx="minor"/>
  </cs:dataPointMarker>
  <cs:dataPointMarkerLayout>
    <cs:lnRef idx="0"/>
    <cs:fillRef idx="0"/>
    <cs:effectRef idx="0"/>
    <cs:fontRef idx="minor"/>
  </cs:dataPointMarkerLayout>
  <cs:dataPointWireframe>
    <cs:lnRef idx="0"/>
    <cs:fillRef idx="0"/>
    <cs:effectRef idx="0"/>
    <cs:fontRef idx="minor"/>
  </cs:dataPointWireframe>
  <cs:dataTable>
    <cs:lnRef idx="0"/>
    <cs:fillRef idx="0"/>
    <cs:effectRef idx="0"/>
    <cs:fontRef idx="minor"/>
  </cs:dataTable>
  <cs:downBar>
    <cs:lnRef idx="0"/>
    <cs:fillRef idx="0"/>
    <cs:effectRef idx="0"/>
    <cs:fontRef idx="minor"/>
  </cs:downBar>
  <cs:dropLine>
    <cs:lnRef idx="0"/>
    <cs:fillRef idx="0"/>
    <cs:effectRef idx="0"/>
    <cs:fontRef idx="minor"/>
  </cs:dropLine>
  <cs:errorBar>
    <cs:lnRef idx="0"/>
    <cs:fillRef idx="0"/>
    <cs:effectRef idx="0"/>
    <cs:fontRef idx="minor"/>
  </cs:errorBar>
  <cs:floor>
    <cs:lnRef idx="0"/>
    <cs:fillRef idx="0"/>
    <cs:effectRef idx="0"/>
    <cs:fontRef idx="minor"/>
  </cs:floor>
  <cs:gridlineMajor>
    <cs:lnRef idx="0"/>
    <cs:fillRef idx="0"/>
    <cs:effectRef idx="0"/>
    <cs:fontRef idx="minor"/>
  </cs:gridlineMajor>
  <cs:gridlineMinor>
    <cs:lnRef idx="0"/>
    <cs:fillRef idx="0"/>
    <cs:effectRef idx="0"/>
    <cs:fontRef idx="minor"/>
  </cs:gridlineMinor>
  <cs:hiLoLine>
    <cs:lnRef idx="0"/>
    <cs:fillRef idx="0"/>
    <cs:effectRef idx="0"/>
    <cs:fontRef idx="minor"/>
  </cs:hiLoLine>
  <cs:leaderLine>
    <cs:lnRef idx="0"/>
    <cs:fillRef idx="0"/>
    <cs:effectRef idx="0"/>
    <cs:fontRef idx="minor"/>
  </cs:leaderLine>
  <cs:legend>
    <cs:lnRef idx="0"/>
    <cs:fillRef idx="0"/>
    <cs:effectRef idx="0"/>
    <cs:fontRef idx="minor"/>
  </cs:legend>
  <cs:plotArea>
    <cs:lnRef idx="0"/>
    <cs:fillRef idx="0"/>
    <cs:effectRef idx="0"/>
    <cs:fontRef idx="minor"/>
  </cs:plotArea>
  <cs:plotArea3D>
    <cs:lnRef idx="0"/>
    <cs:fillRef idx="0"/>
    <cs:effectRef idx="0"/>
    <cs:fontRef idx="minor"/>
  </cs:plotArea3D>
  <cs:seriesAxis>
    <cs:lnRef idx="0"/>
    <cs:fillRef idx="0"/>
    <cs:effectRef idx="0"/>
    <cs:fontRef idx="minor"/>
  </cs:seriesAxis>
  <cs:seriesLine>
    <cs:lnRef idx="0"/>
    <cs:fillRef idx="0"/>
    <cs:effectRef idx="0"/>
    <cs:fontRef idx="minor"/>
  </cs:seriesLine>
  <cs:title>
    <cs:lnRef idx="0"/>
    <cs:fillRef idx="0"/>
    <cs:effectRef idx="0"/>
    <cs:fontRef idx="minor"/>
  </cs:title>
  <cs:trendline>
    <cs:lnRef idx="0"/>
    <cs:fillRef idx="0"/>
    <cs:effectRef idx="0"/>
    <cs:fontRef idx="minor"/>
  </cs:trendline>
  <cs:trendlineLabel>
    <cs:lnRef idx="0"/>
    <cs:fillRef idx="0"/>
    <cs:effectRef idx="0"/>
    <cs:fontRef idx="minor"/>
  </cs:trendlineLabel>
  <cs:upBar>
    <cs:lnRef idx="0"/>
    <cs:fillRef idx="0"/>
    <cs:effectRef idx="0"/>
    <cs:fontRef idx="minor"/>
  </cs:upBar>
  <cs:valueAxis>
    <cs:lnRef idx="0"/>
    <cs:fillRef idx="0"/>
    <cs:effectRef idx="0"/>
    <cs:fontRef idx="minor"/>
  </cs:valueAxis>
  <cs:wall>
    <cs:lnRef idx="0"/>
    <cs:fillRef idx="0"/>
    <cs:effectRef idx="0"/>
    <cs:fontRef idx="minor"/>
  </cs:wall>
</cs:chartStyl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26</xdr:row>
      <xdr:rowOff>0</xdr:rowOff>
    </xdr:from>
    <xdr:to>
      <xdr:col>6</xdr:col>
      <xdr:colOff>417240</xdr:colOff>
      <xdr:row>43</xdr:row>
      <xdr:rowOff>360</xdr:rowOff>
    </xdr:to>
    <xdr:graphicFrame>
      <xdr:nvGraphicFramePr>
        <xdr:cNvPr id="1" name="Chart 1"/>
        <xdr:cNvGraphicFramePr/>
      </xdr:nvGraphicFramePr>
      <xdr:xfrm>
        <a:off x="0" y="5210280"/>
        <a:ext cx="6478920" cy="323892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22</xdr:row>
      <xdr:rowOff>0</xdr:rowOff>
    </xdr:from>
    <xdr:to>
      <xdr:col>6</xdr:col>
      <xdr:colOff>417240</xdr:colOff>
      <xdr:row>39</xdr:row>
      <xdr:rowOff>720</xdr:rowOff>
    </xdr:to>
    <xdr:graphicFrame>
      <xdr:nvGraphicFramePr>
        <xdr:cNvPr id="2" name="Chart 1"/>
        <xdr:cNvGraphicFramePr/>
      </xdr:nvGraphicFramePr>
      <xdr:xfrm>
        <a:off x="0" y="4448160"/>
        <a:ext cx="6478920" cy="32392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9.xml.rels><?xml version="1.0" encoding="UTF-8"?>
<Relationships xmlns="http://schemas.openxmlformats.org/package/2006/relationships"><Relationship Id="rId1" Type="http://schemas.openxmlformats.org/officeDocument/2006/relationships/comments" Target="../comments9.xml"/><Relationship Id="rId2" Type="http://schemas.openxmlformats.org/officeDocument/2006/relationships/vmlDrawing" Target="../drawings/vmlDrawing1.vml"/>
</Relationships>
</file>

<file path=xl/worksheets/_rels/sheet11.xml.rels><?xml version="1.0" encoding="UTF-8"?>
<Relationships xmlns="http://schemas.openxmlformats.org/package/2006/relationships"><Relationship Id="rId1" Type="http://schemas.openxmlformats.org/officeDocument/2006/relationships/drawing" Target="../drawings/drawing1.xml"/>
</Relationships>
</file>

<file path=xl/worksheets/_rels/sheet12.xml.rels><?xml version="1.0" encoding="UTF-8"?>
<Relationships xmlns="http://schemas.openxmlformats.org/package/2006/relationships"><Relationship Id="rId1" Type="http://schemas.openxmlformats.org/officeDocument/2006/relationships/drawing" Target="../drawings/drawing2.xml"/>
</Relationships>
</file>

<file path=xl/worksheets/_rels/sheet18.xml.rels><?xml version="1.0" encoding="UTF-8"?>
<Relationships xmlns="http://schemas.openxmlformats.org/package/2006/relationships"><Relationship Id="rId1" Type="http://schemas.openxmlformats.org/officeDocument/2006/relationships/hyperlink" Target="https://www.runpod.io/pricing" TargetMode="External"/><Relationship Id="rId2" Type="http://schemas.openxmlformats.org/officeDocument/2006/relationships/hyperlink" Target="https://ecommerceparadise.com/runpod-pricing/" TargetMode="External"/><Relationship Id="rId3" Type="http://schemas.openxmlformats.org/officeDocument/2006/relationships/hyperlink" Target="https://checkthat.ai/brands/runpod/pricing" TargetMode="External"/><Relationship Id="rId4" Type="http://schemas.openxmlformats.org/officeDocument/2006/relationships/hyperlink" Target="https://vast.ai/article/how-much-money-can-you-earn-renting-out-your-gpu-on-vast-ai" TargetMode="External"/><Relationship Id="rId5" Type="http://schemas.openxmlformats.org/officeDocument/2006/relationships/hyperlink" Target="https://vast.ai/hosting" TargetMode="External"/><Relationship Id="rId6" Type="http://schemas.openxmlformats.org/officeDocument/2006/relationships/hyperlink" Target="https://gpusmith.com/articles/en/h100-rental-price-history-trends" TargetMode="External"/><Relationship Id="rId7" Type="http://schemas.openxmlformats.org/officeDocument/2006/relationships/hyperlink" Target="https://www.silicondata.com/blog/h100-rental-price-over-time" TargetMode="External"/><Relationship Id="rId8" Type="http://schemas.openxmlformats.org/officeDocument/2006/relationships/hyperlink" Target="https://cryptobriefing.com/h100-rental-prices-slide-ornn-ai/" TargetMode="External"/><Relationship Id="rId9" Type="http://schemas.openxmlformats.org/officeDocument/2006/relationships/hyperlink" Target="https://hashrateindex.com/blog/used-gpu-market-pricing-deprecation-secondary-ai/" TargetMode="External"/><Relationship Id="rId10" Type="http://schemas.openxmlformats.org/officeDocument/2006/relationships/hyperlink" Target="https://www.spheron.network/blog/nvidia-h100-price-2026/" TargetMode="External"/><Relationship Id="rId11" Type="http://schemas.openxmlformats.org/officeDocument/2006/relationships/hyperlink" Target="https://arxiv.org/pdf/2407.21783" TargetMode="External"/><Relationship Id="rId12" Type="http://schemas.openxmlformats.org/officeDocument/2006/relationships/hyperlink" Target="https://www.datacenterdynamics.com/en/news/meta-report-details-hundreds-of-gpu-and-hbm3-related-interruptions-to-llama-3-training-run/" TargetMode="External"/><Relationship Id="rId13" Type="http://schemas.openxmlformats.org/officeDocument/2006/relationships/hyperlink" Target="https://www.electricchoice.com/electricity-prices-by-state/maine/" TargetMode="External"/><Relationship Id="rId14" Type="http://schemas.openxmlformats.org/officeDocument/2006/relationships/hyperlink" Target="https://www.einpresswire.com/article/868641743/commission-accepts-bids-for-standard-offer-electricity-supply-for-2026-for-central-maine-power-company-and-versant-power-company-s-maine-public" TargetMode="External"/><Relationship Id="rId15" Type="http://schemas.openxmlformats.org/officeDocument/2006/relationships/hyperlink" Target="https://www.cmpco.com/account/understandyourbill/pricing" TargetMode="External"/><Relationship Id="rId16" Type="http://schemas.openxmlformats.org/officeDocument/2006/relationships/hyperlink" Target="https://nuwattenergy.com/en/maine/electricity-rates-2026" TargetMode="External"/><Relationship Id="rId17" Type="http://schemas.openxmlformats.org/officeDocument/2006/relationships/hyperlink" Target="https://nectarclimate.com/rates/central-maine-power" TargetMode="External"/><Relationship Id="rId18" Type="http://schemas.openxmlformats.org/officeDocument/2006/relationships/hyperlink" Target="https://mysolarfy.com/maine-net-energy-billing-2026/" TargetMode="External"/><Relationship Id="rId19" Type="http://schemas.openxmlformats.org/officeDocument/2006/relationships/hyperlink" Target="https://www.efficiencymaine.com/at-work/" TargetMode="External"/><Relationship Id="rId20" Type="http://schemas.openxmlformats.org/officeDocument/2006/relationships/hyperlink" Target="https://database.aceee.org/state/maine" TargetMode="External"/><Relationship Id="rId21" Type="http://schemas.openxmlformats.org/officeDocument/2006/relationships/hyperlink" Target="https://www.rd.usda.gov/inflation-reduction-act/rural-energy-america-program-reap" TargetMode="External"/><Relationship Id="rId22" Type="http://schemas.openxmlformats.org/officeDocument/2006/relationships/hyperlink" Target="https://grantsights.com/blog/usda-reap-grants-guide" TargetMode="External"/><Relationship Id="rId23" Type="http://schemas.openxmlformats.org/officeDocument/2006/relationships/hyperlink" Target="https://www.rd.usda.gov/programs-services/energy-programs/rural-energy-america-program-renewable-energy-systems-energy-efficiency-improvement-guaranteed-loans" TargetMode="External"/><Relationship Id="rId24" Type="http://schemas.openxmlformats.org/officeDocument/2006/relationships/hyperlink" Target="https://www.irs.gov/newsroom/treasury-irs-issue-guidance-on-the-additional-first-year-depreciation-deduction-amended-as-part-of-the-one-big-beautiful-bill" TargetMode="External"/><Relationship Id="rId25" Type="http://schemas.openxmlformats.org/officeDocument/2006/relationships/hyperlink" Target="https://www.irs.gov/newsroom/working-families-tax-cuts" TargetMode="External"/><Relationship Id="rId26" Type="http://schemas.openxmlformats.org/officeDocument/2006/relationships/hyperlink" Target="https://www.usbank.com/corporate-and-commercial-banking/insights/credit-finance/equipment/maximize-deductions-section-179.html" TargetMode="External"/><Relationship Id="rId27" Type="http://schemas.openxmlformats.org/officeDocument/2006/relationships/hyperlink" Target="https://tax.thomsonreuters.com/en/glossary/bonus-depreciation" TargetMode="External"/><Relationship Id="rId28" Type="http://schemas.openxmlformats.org/officeDocument/2006/relationships/hyperlink" Target="https://www.spheron.network/blog/gpu-cloud-providers-europe-2026/" TargetMode="External"/><Relationship Id="rId29" Type="http://schemas.openxmlformats.org/officeDocument/2006/relationships/hyperlink" Target="https://www.ovhcloud.com/en/public-cloud/gpu/h100/" TargetMode="External"/><Relationship Id="rId30" Type="http://schemas.openxmlformats.org/officeDocument/2006/relationships/hyperlink" Target="https://computeprices.com/providers/upcloud" TargetMode="External"/><Relationship Id="rId31" Type="http://schemas.openxmlformats.org/officeDocument/2006/relationships/hyperlink" Target="https://www.runpod.io/articles/guides/top-cloud-gpu-providers" TargetMode="External"/><Relationship Id="rId32" Type="http://schemas.openxmlformats.org/officeDocument/2006/relationships/hyperlink" Target="https://getdeploying.com/guides/cheapest-gpu-cloud" TargetMode="External"/><Relationship Id="rId33" Type="http://schemas.openxmlformats.org/officeDocument/2006/relationships/hyperlink" Target="https://www.mainelegislature.org/legis/statutes/5/title5sec1825-b.html" TargetMode="External"/><Relationship Id="rId34" Type="http://schemas.openxmlformats.org/officeDocument/2006/relationships/hyperlink" Target="https://www.naspo.org/research-and-innovation/state-preference-repository/browse-by-state/maine/" TargetMode="External"/><Relationship Id="rId35" Type="http://schemas.openxmlformats.org/officeDocument/2006/relationships/hyperlink" Target="https://www.maine.gov/dafs/bbm/procurementservices/vendors"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10"/>
  </cols>
  <sheetData>
    <row r="1" customFormat="false" ht="15.75" hidden="false" customHeight="true" outlineLevel="0" collapsed="false">
      <c r="A1" s="2" t="s">
        <v>0</v>
      </c>
    </row>
    <row r="2" customFormat="false" ht="15" hidden="false" customHeight="true" outlineLevel="0" collapsed="false">
      <c r="A2" s="3" t="s">
        <v>1</v>
      </c>
    </row>
    <row r="3" customFormat="false" ht="15" hidden="false" customHeight="true" outlineLevel="0" collapsed="false">
      <c r="A3" s="3"/>
    </row>
    <row r="4" customFormat="false" ht="15" hidden="false" customHeight="true" outlineLevel="0" collapsed="false">
      <c r="A4" s="4" t="s">
        <v>2</v>
      </c>
    </row>
    <row r="5" customFormat="false" ht="15" hidden="false" customHeight="true" outlineLevel="0" collapsed="false">
      <c r="A5" s="3" t="s">
        <v>3</v>
      </c>
    </row>
    <row r="6" customFormat="false" ht="15" hidden="false" customHeight="true" outlineLevel="0" collapsed="false">
      <c r="A6" s="3" t="s">
        <v>4</v>
      </c>
    </row>
    <row r="7" customFormat="false" ht="15" hidden="false" customHeight="true" outlineLevel="0" collapsed="false">
      <c r="A7" s="3" t="s">
        <v>5</v>
      </c>
    </row>
    <row r="8" customFormat="false" ht="15" hidden="false" customHeight="true" outlineLevel="0" collapsed="false">
      <c r="A8" s="3" t="s">
        <v>6</v>
      </c>
    </row>
    <row r="9" customFormat="false" ht="15" hidden="false" customHeight="true" outlineLevel="0" collapsed="false">
      <c r="A9" s="5" t="s">
        <v>7</v>
      </c>
    </row>
    <row r="10" customFormat="false" ht="15" hidden="false" customHeight="true" outlineLevel="0" collapsed="false">
      <c r="A10" s="3"/>
    </row>
    <row r="11" customFormat="false" ht="15" hidden="false" customHeight="true" outlineLevel="0" collapsed="false">
      <c r="A11" s="6" t="s">
        <v>8</v>
      </c>
    </row>
    <row r="12" customFormat="false" ht="15" hidden="false" customHeight="true" outlineLevel="0" collapsed="false">
      <c r="A12" s="3" t="s">
        <v>9</v>
      </c>
    </row>
    <row r="13" customFormat="false" ht="15" hidden="false" customHeight="true" outlineLevel="0" collapsed="false">
      <c r="A13" s="3" t="s">
        <v>10</v>
      </c>
    </row>
    <row r="14" customFormat="false" ht="15" hidden="false" customHeight="true" outlineLevel="0" collapsed="false">
      <c r="A14" s="3" t="s">
        <v>11</v>
      </c>
    </row>
    <row r="15" customFormat="false" ht="15" hidden="false" customHeight="true" outlineLevel="0" collapsed="false">
      <c r="A15" s="3" t="s">
        <v>12</v>
      </c>
    </row>
    <row r="16" customFormat="false" ht="15" hidden="false" customHeight="true" outlineLevel="0" collapsed="false">
      <c r="A16" s="3" t="s">
        <v>13</v>
      </c>
    </row>
    <row r="17" customFormat="false" ht="15" hidden="false" customHeight="true" outlineLevel="0" collapsed="false">
      <c r="A17" s="3" t="s">
        <v>14</v>
      </c>
    </row>
    <row r="18" customFormat="false" ht="15" hidden="false" customHeight="true" outlineLevel="0" collapsed="false">
      <c r="A18" s="5" t="s">
        <v>15</v>
      </c>
    </row>
    <row r="19" customFormat="false" ht="15" hidden="false" customHeight="true" outlineLevel="0" collapsed="false">
      <c r="A19" s="3"/>
    </row>
    <row r="20" customFormat="false" ht="15" hidden="false" customHeight="true" outlineLevel="0" collapsed="false">
      <c r="A20" s="6" t="s">
        <v>16</v>
      </c>
    </row>
    <row r="21" customFormat="false" ht="15" hidden="false" customHeight="true" outlineLevel="0" collapsed="false">
      <c r="A21" s="3" t="s">
        <v>17</v>
      </c>
    </row>
    <row r="22" customFormat="false" ht="15" hidden="false" customHeight="true" outlineLevel="0" collapsed="false">
      <c r="A22" s="3" t="s">
        <v>18</v>
      </c>
    </row>
    <row r="23" customFormat="false" ht="15" hidden="false" customHeight="true" outlineLevel="0" collapsed="false">
      <c r="A23" s="3"/>
    </row>
    <row r="24" customFormat="false" ht="15" hidden="false" customHeight="true" outlineLevel="0" collapsed="false">
      <c r="A24" s="4" t="s">
        <v>19</v>
      </c>
    </row>
    <row r="25" customFormat="false" ht="15" hidden="false" customHeight="true" outlineLevel="0" collapsed="false">
      <c r="A25" s="3" t="s">
        <v>20</v>
      </c>
    </row>
    <row r="26" customFormat="false" ht="15" hidden="false" customHeight="true" outlineLevel="0" collapsed="false">
      <c r="A26" s="3" t="s">
        <v>21</v>
      </c>
    </row>
    <row r="27" customFormat="false" ht="15" hidden="false" customHeight="true" outlineLevel="0" collapsed="false">
      <c r="A27" s="3" t="s">
        <v>22</v>
      </c>
    </row>
    <row r="28" customFormat="false" ht="15" hidden="false" customHeight="true" outlineLevel="0" collapsed="false">
      <c r="A28" s="3"/>
    </row>
    <row r="29" customFormat="false" ht="15" hidden="false" customHeight="true" outlineLevel="0" collapsed="false">
      <c r="A29" s="6" t="s">
        <v>23</v>
      </c>
    </row>
    <row r="30" customFormat="false" ht="15" hidden="false" customHeight="true" outlineLevel="0" collapsed="false">
      <c r="A30" s="5" t="s">
        <v>24</v>
      </c>
    </row>
    <row r="31" customFormat="false" ht="15" hidden="false" customHeight="true" outlineLevel="0" collapsed="false">
      <c r="A31" s="3"/>
    </row>
    <row r="32" customFormat="false" ht="15" hidden="false" customHeight="true" outlineLevel="0" collapsed="false">
      <c r="A32" s="6" t="s">
        <v>25</v>
      </c>
    </row>
    <row r="33" customFormat="false" ht="15" hidden="false" customHeight="true" outlineLevel="0" collapsed="false">
      <c r="A33" s="3" t="s">
        <v>26</v>
      </c>
    </row>
    <row r="34" customFormat="false" ht="15" hidden="false" customHeight="true" outlineLevel="0" collapsed="false">
      <c r="A34" s="3" t="s">
        <v>27</v>
      </c>
    </row>
    <row r="35" customFormat="false" ht="15" hidden="false" customHeight="true" outlineLevel="0" collapsed="false">
      <c r="A35" s="3" t="s">
        <v>28</v>
      </c>
    </row>
    <row r="36" customFormat="false" ht="15" hidden="false" customHeight="true" outlineLevel="0" collapsed="false">
      <c r="A36" s="3" t="s">
        <v>29</v>
      </c>
    </row>
    <row r="37" customFormat="false" ht="15" hidden="false" customHeight="true" outlineLevel="0" collapsed="false">
      <c r="A37" s="6"/>
    </row>
    <row r="38" customFormat="false" ht="15" hidden="false" customHeight="true" outlineLevel="0" collapsed="false">
      <c r="A38" s="3"/>
    </row>
    <row r="39" customFormat="false" ht="15" hidden="false" customHeight="true" outlineLevel="0" collapsed="false">
      <c r="A39" s="3"/>
    </row>
    <row r="41" customFormat="false" ht="15" hidden="false" customHeight="true" outlineLevel="0" collapsed="false">
      <c r="A41" s="6"/>
    </row>
    <row r="42" customFormat="false" ht="15" hidden="false" customHeight="true" outlineLevel="0" collapsed="false">
      <c r="A42" s="3"/>
    </row>
    <row r="43" customFormat="false" ht="15" hidden="false" customHeight="true" outlineLevel="0" collapsed="false">
      <c r="A43" s="3"/>
    </row>
    <row r="45" customFormat="false" ht="15" hidden="false" customHeight="true" outlineLevel="0" collapsed="false">
      <c r="A45" s="6"/>
    </row>
    <row r="46" customFormat="false" ht="15" hidden="false" customHeight="true" outlineLevel="0" collapsed="false">
      <c r="A46" s="3"/>
    </row>
    <row r="47" customFormat="false" ht="15" hidden="false" customHeight="true" outlineLevel="0" collapsed="false">
      <c r="A47" s="3"/>
    </row>
    <row r="48" customFormat="false" ht="15" hidden="false" customHeight="true" outlineLevel="0" collapsed="false">
      <c r="A48" s="3"/>
    </row>
    <row r="49" customFormat="false" ht="15" hidden="false" customHeight="true" outlineLevel="0" collapsed="false">
      <c r="A49" s="3"/>
    </row>
    <row r="50" customFormat="false" ht="15" hidden="false" customHeight="true" outlineLevel="0" collapsed="false">
      <c r="A50" s="3"/>
    </row>
    <row r="51" customFormat="false" ht="15" hidden="false" customHeight="true" outlineLevel="0" collapsed="false">
      <c r="A51" s="3"/>
    </row>
    <row r="53" customFormat="false" ht="15" hidden="false" customHeight="true" outlineLevel="0" collapsed="false">
      <c r="A53" s="6"/>
    </row>
    <row r="54" customFormat="false" ht="15" hidden="false" customHeight="true" outlineLevel="0" collapsed="false">
      <c r="A54" s="3"/>
    </row>
    <row r="55" customFormat="false" ht="15" hidden="false" customHeight="true" outlineLevel="0" collapsed="false">
      <c r="A55" s="3"/>
    </row>
    <row r="56" customFormat="false" ht="15" hidden="false" customHeight="true" outlineLevel="0" collapsed="false">
      <c r="A56" s="3"/>
    </row>
    <row r="57" customFormat="false" ht="15" hidden="false" customHeight="true" outlineLevel="0" collapsed="false">
      <c r="A57" s="3"/>
    </row>
    <row r="58" customFormat="false" ht="15" hidden="false" customHeight="true" outlineLevel="0" collapsed="false">
      <c r="A58" s="3"/>
    </row>
    <row r="59" customFormat="false" ht="15" hidden="false" customHeight="true" outlineLevel="0" collapsed="false">
      <c r="A59" s="3"/>
    </row>
    <row r="60" customFormat="false" ht="15" hidden="false" customHeight="true" outlineLevel="0" collapsed="false">
      <c r="A60" s="3"/>
    </row>
    <row r="61" customFormat="false" ht="15" hidden="false" customHeight="true" outlineLevel="0" collapsed="false">
      <c r="A61" s="3"/>
    </row>
    <row r="62" customFormat="false" ht="15" hidden="false" customHeight="true" outlineLevel="0" collapsed="false">
      <c r="A62" s="3"/>
    </row>
    <row r="63" customFormat="false" ht="15" hidden="false" customHeight="true" outlineLevel="0" collapsed="false">
      <c r="A63" s="3"/>
    </row>
    <row r="64" customFormat="false" ht="15" hidden="false" customHeight="true" outlineLevel="0" collapsed="false">
      <c r="A64" s="3"/>
    </row>
    <row r="65" customFormat="false" ht="15" hidden="false" customHeight="true" outlineLevel="0" collapsed="false">
      <c r="A65" s="3"/>
    </row>
    <row r="67" customFormat="false" ht="15" hidden="false" customHeight="true" outlineLevel="0" collapsed="false">
      <c r="A67" s="6"/>
    </row>
    <row r="68" customFormat="false" ht="15" hidden="false" customHeight="true" outlineLevel="0" collapsed="false">
      <c r="A68" s="3"/>
    </row>
    <row r="69" customFormat="false" ht="15" hidden="false" customHeight="true" outlineLevel="0" collapsed="false">
      <c r="A69" s="3"/>
    </row>
    <row r="70" customFormat="false" ht="15" hidden="false" customHeight="true" outlineLevel="0" collapsed="false">
      <c r="A70" s="3"/>
    </row>
    <row r="71" customFormat="false" ht="15" hidden="false" customHeight="true" outlineLevel="0" collapsed="false">
      <c r="A71" s="3"/>
    </row>
    <row r="72" customFormat="false" ht="15" hidden="false" customHeight="true" outlineLevel="0" collapsed="false">
      <c r="A72" s="3"/>
    </row>
    <row r="74" customFormat="false" ht="15" hidden="false" customHeight="true" outlineLevel="0" collapsed="false">
      <c r="A74" s="6"/>
    </row>
    <row r="75" customFormat="false" ht="15" hidden="false" customHeight="true" outlineLevel="0" collapsed="false">
      <c r="A75" s="3"/>
    </row>
    <row r="76" customFormat="false" ht="15" hidden="false" customHeight="true" outlineLevel="0" collapsed="false">
      <c r="A76" s="3"/>
    </row>
    <row r="77" customFormat="false" ht="15" hidden="false" customHeight="true" outlineLevel="0" collapsed="false">
      <c r="A77" s="3"/>
    </row>
    <row r="78" customFormat="false" ht="15" hidden="false" customHeight="true" outlineLevel="0" collapsed="false">
      <c r="A78" s="3"/>
    </row>
    <row r="79" customFormat="false" ht="15" hidden="false" customHeight="true" outlineLevel="0" collapsed="false">
      <c r="A79" s="3"/>
    </row>
    <row r="80" customFormat="false" ht="15" hidden="false" customHeight="true" outlineLevel="0" collapsed="false">
      <c r="A80" s="3"/>
    </row>
    <row r="81" customFormat="false" ht="15" hidden="false" customHeight="true" outlineLevel="0" collapsed="false">
      <c r="A81" s="3"/>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6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22"/>
    <col collapsed="false" customWidth="true" hidden="false" outlineLevel="0" max="2" min="2" style="1" width="30"/>
    <col collapsed="false" customWidth="true" hidden="false" outlineLevel="0" max="3" min="3" style="1" width="96"/>
  </cols>
  <sheetData>
    <row r="1" customFormat="false" ht="15.75" hidden="false" customHeight="true" outlineLevel="0" collapsed="false">
      <c r="A1" s="2" t="s">
        <v>30</v>
      </c>
    </row>
    <row r="2" customFormat="false" ht="15" hidden="false" customHeight="true" outlineLevel="0" collapsed="false">
      <c r="A2" s="7" t="s">
        <v>31</v>
      </c>
    </row>
    <row r="4" customFormat="false" ht="15" hidden="false" customHeight="true" outlineLevel="0" collapsed="false">
      <c r="A4" s="4" t="s">
        <v>32</v>
      </c>
    </row>
    <row r="5" customFormat="false" ht="15" hidden="false" customHeight="true" outlineLevel="0" collapsed="false">
      <c r="A5" s="8" t="s">
        <v>33</v>
      </c>
      <c r="B5" s="8" t="s">
        <v>34</v>
      </c>
      <c r="C5" s="8" t="s">
        <v>35</v>
      </c>
    </row>
    <row r="6" customFormat="false" ht="23.25" hidden="false" customHeight="true" outlineLevel="0" collapsed="false">
      <c r="A6" s="6" t="s">
        <v>36</v>
      </c>
      <c r="B6" s="3" t="s">
        <v>37</v>
      </c>
      <c r="C6" s="9" t="s">
        <v>38</v>
      </c>
    </row>
    <row r="7" customFormat="false" ht="23.25" hidden="false" customHeight="true" outlineLevel="0" collapsed="false">
      <c r="A7" s="6" t="s">
        <v>39</v>
      </c>
      <c r="B7" s="3" t="s">
        <v>40</v>
      </c>
      <c r="C7" s="9" t="s">
        <v>41</v>
      </c>
    </row>
    <row r="8" customFormat="false" ht="15" hidden="false" customHeight="true" outlineLevel="0" collapsed="false">
      <c r="A8" s="6" t="s">
        <v>42</v>
      </c>
      <c r="B8" s="3" t="s">
        <v>40</v>
      </c>
      <c r="C8" s="9" t="s">
        <v>43</v>
      </c>
    </row>
    <row r="9" customFormat="false" ht="23.25" hidden="false" customHeight="true" outlineLevel="0" collapsed="false">
      <c r="A9" s="6" t="s">
        <v>44</v>
      </c>
      <c r="B9" s="3" t="s">
        <v>45</v>
      </c>
      <c r="C9" s="9" t="s">
        <v>46</v>
      </c>
    </row>
    <row r="10" customFormat="false" ht="15" hidden="false" customHeight="true" outlineLevel="0" collapsed="false">
      <c r="A10" s="6" t="s">
        <v>47</v>
      </c>
      <c r="B10" s="3" t="s">
        <v>48</v>
      </c>
      <c r="C10" s="9" t="s">
        <v>49</v>
      </c>
    </row>
    <row r="11" customFormat="false" ht="15" hidden="false" customHeight="true" outlineLevel="0" collapsed="false">
      <c r="A11" s="6" t="s">
        <v>50</v>
      </c>
      <c r="B11" s="3" t="s">
        <v>40</v>
      </c>
      <c r="C11" s="9" t="s">
        <v>51</v>
      </c>
    </row>
    <row r="12" customFormat="false" ht="15" hidden="false" customHeight="true" outlineLevel="0" collapsed="false">
      <c r="A12" s="6" t="s">
        <v>52</v>
      </c>
      <c r="B12" s="3" t="s">
        <v>40</v>
      </c>
      <c r="C12" s="9" t="s">
        <v>53</v>
      </c>
    </row>
    <row r="13" customFormat="false" ht="15" hidden="false" customHeight="true" outlineLevel="0" collapsed="false">
      <c r="A13" s="6" t="s">
        <v>54</v>
      </c>
      <c r="B13" s="3" t="s">
        <v>40</v>
      </c>
      <c r="C13" s="9" t="s">
        <v>55</v>
      </c>
    </row>
    <row r="14" customFormat="false" ht="15" hidden="false" customHeight="true" outlineLevel="0" collapsed="false">
      <c r="A14" s="6" t="s">
        <v>56</v>
      </c>
      <c r="B14" s="3" t="s">
        <v>40</v>
      </c>
      <c r="C14" s="9" t="s">
        <v>57</v>
      </c>
    </row>
    <row r="15" customFormat="false" ht="23.25" hidden="false" customHeight="true" outlineLevel="0" collapsed="false">
      <c r="A15" s="6" t="s">
        <v>58</v>
      </c>
      <c r="B15" s="3" t="s">
        <v>40</v>
      </c>
      <c r="C15" s="10" t="s">
        <v>59</v>
      </c>
    </row>
    <row r="16" customFormat="false" ht="15" hidden="false" customHeight="true" outlineLevel="0" collapsed="false">
      <c r="A16" s="6" t="s">
        <v>60</v>
      </c>
      <c r="B16" s="3" t="s">
        <v>61</v>
      </c>
      <c r="C16" s="9" t="s">
        <v>62</v>
      </c>
    </row>
    <row r="18" customFormat="false" ht="15" hidden="false" customHeight="true" outlineLevel="0" collapsed="false">
      <c r="A18" s="4" t="s">
        <v>63</v>
      </c>
    </row>
    <row r="19" customFormat="false" ht="15" hidden="false" customHeight="true" outlineLevel="0" collapsed="false">
      <c r="A19" s="8" t="s">
        <v>33</v>
      </c>
      <c r="B19" s="8" t="s">
        <v>34</v>
      </c>
      <c r="C19" s="8" t="s">
        <v>35</v>
      </c>
    </row>
    <row r="20" customFormat="false" ht="23.25" hidden="false" customHeight="true" outlineLevel="0" collapsed="false">
      <c r="A20" s="6" t="s">
        <v>64</v>
      </c>
      <c r="B20" s="3" t="s">
        <v>65</v>
      </c>
      <c r="C20" s="9" t="s">
        <v>66</v>
      </c>
    </row>
    <row r="21" customFormat="false" ht="15" hidden="false" customHeight="true" outlineLevel="0" collapsed="false">
      <c r="A21" s="6" t="s">
        <v>67</v>
      </c>
      <c r="B21" s="3" t="s">
        <v>68</v>
      </c>
      <c r="C21" s="9" t="s">
        <v>69</v>
      </c>
    </row>
    <row r="22" customFormat="false" ht="15" hidden="false" customHeight="true" outlineLevel="0" collapsed="false">
      <c r="A22" s="6" t="s">
        <v>70</v>
      </c>
      <c r="B22" s="3" t="s">
        <v>71</v>
      </c>
      <c r="C22" s="9" t="s">
        <v>72</v>
      </c>
    </row>
    <row r="23" customFormat="false" ht="15" hidden="false" customHeight="true" outlineLevel="0" collapsed="false">
      <c r="A23" s="6" t="s">
        <v>73</v>
      </c>
      <c r="B23" s="3" t="s">
        <v>74</v>
      </c>
      <c r="C23" s="9" t="s">
        <v>75</v>
      </c>
    </row>
    <row r="24" customFormat="false" ht="23.25" hidden="false" customHeight="true" outlineLevel="0" collapsed="false">
      <c r="A24" s="6" t="s">
        <v>76</v>
      </c>
      <c r="B24" s="3" t="s">
        <v>77</v>
      </c>
      <c r="C24" s="9" t="s">
        <v>78</v>
      </c>
    </row>
    <row r="25" customFormat="false" ht="15" hidden="false" customHeight="true" outlineLevel="0" collapsed="false">
      <c r="A25" s="6" t="s">
        <v>79</v>
      </c>
      <c r="B25" s="3" t="s">
        <v>77</v>
      </c>
      <c r="C25" s="9" t="s">
        <v>80</v>
      </c>
    </row>
    <row r="26" customFormat="false" ht="15" hidden="false" customHeight="true" outlineLevel="0" collapsed="false">
      <c r="A26" s="6" t="s">
        <v>81</v>
      </c>
      <c r="B26" s="3" t="s">
        <v>82</v>
      </c>
      <c r="C26" s="9" t="s">
        <v>83</v>
      </c>
    </row>
    <row r="27" customFormat="false" ht="23.25" hidden="false" customHeight="true" outlineLevel="0" collapsed="false">
      <c r="A27" s="6" t="s">
        <v>84</v>
      </c>
      <c r="B27" s="3" t="s">
        <v>85</v>
      </c>
      <c r="C27" s="9" t="s">
        <v>86</v>
      </c>
    </row>
    <row r="28" customFormat="false" ht="15" hidden="false" customHeight="true" outlineLevel="0" collapsed="false">
      <c r="A28" s="6" t="s">
        <v>87</v>
      </c>
      <c r="B28" s="3" t="s">
        <v>88</v>
      </c>
      <c r="C28" s="9" t="s">
        <v>89</v>
      </c>
    </row>
    <row r="29" customFormat="false" ht="15" hidden="false" customHeight="true" outlineLevel="0" collapsed="false">
      <c r="A29" s="6" t="s">
        <v>90</v>
      </c>
      <c r="B29" s="3" t="s">
        <v>91</v>
      </c>
      <c r="C29" s="9" t="s">
        <v>92</v>
      </c>
    </row>
    <row r="30" customFormat="false" ht="23.25" hidden="false" customHeight="true" outlineLevel="0" collapsed="false">
      <c r="A30" s="6" t="s">
        <v>93</v>
      </c>
      <c r="B30" s="3" t="s">
        <v>94</v>
      </c>
      <c r="C30" s="9" t="s">
        <v>95</v>
      </c>
    </row>
    <row r="31" customFormat="false" ht="15" hidden="false" customHeight="true" outlineLevel="0" collapsed="false">
      <c r="A31" s="6" t="s">
        <v>96</v>
      </c>
      <c r="B31" s="3" t="s">
        <v>97</v>
      </c>
      <c r="C31" s="9" t="s">
        <v>98</v>
      </c>
    </row>
    <row r="32" customFormat="false" ht="15" hidden="false" customHeight="true" outlineLevel="0" collapsed="false">
      <c r="A32" s="6" t="s">
        <v>99</v>
      </c>
      <c r="B32" s="3" t="s">
        <v>100</v>
      </c>
      <c r="C32" s="9" t="s">
        <v>101</v>
      </c>
    </row>
    <row r="34" customFormat="false" ht="15" hidden="false" customHeight="true" outlineLevel="0" collapsed="false">
      <c r="A34" s="4" t="s">
        <v>102</v>
      </c>
    </row>
    <row r="35" customFormat="false" ht="15" hidden="false" customHeight="true" outlineLevel="0" collapsed="false">
      <c r="A35" s="8" t="s">
        <v>33</v>
      </c>
      <c r="B35" s="8" t="s">
        <v>34</v>
      </c>
      <c r="C35" s="8" t="s">
        <v>35</v>
      </c>
    </row>
    <row r="36" customFormat="false" ht="15" hidden="false" customHeight="true" outlineLevel="0" collapsed="false">
      <c r="A36" s="6" t="s">
        <v>103</v>
      </c>
      <c r="B36" s="3" t="s">
        <v>104</v>
      </c>
      <c r="C36" s="9" t="s">
        <v>105</v>
      </c>
    </row>
    <row r="37" customFormat="false" ht="23.25" hidden="false" customHeight="true" outlineLevel="0" collapsed="false">
      <c r="A37" s="6" t="s">
        <v>106</v>
      </c>
      <c r="B37" s="3" t="s">
        <v>107</v>
      </c>
      <c r="C37" s="9" t="s">
        <v>108</v>
      </c>
    </row>
    <row r="38" customFormat="false" ht="15" hidden="false" customHeight="true" outlineLevel="0" collapsed="false">
      <c r="A38" s="6" t="s">
        <v>109</v>
      </c>
      <c r="B38" s="3" t="s">
        <v>110</v>
      </c>
      <c r="C38" s="9" t="s">
        <v>111</v>
      </c>
    </row>
    <row r="39" customFormat="false" ht="15" hidden="false" customHeight="true" outlineLevel="0" collapsed="false">
      <c r="A39" s="6" t="s">
        <v>112</v>
      </c>
      <c r="B39" s="3" t="s">
        <v>113</v>
      </c>
      <c r="C39" s="9" t="s">
        <v>114</v>
      </c>
    </row>
    <row r="40" customFormat="false" ht="15" hidden="false" customHeight="true" outlineLevel="0" collapsed="false">
      <c r="A40" s="6" t="s">
        <v>115</v>
      </c>
      <c r="B40" s="3" t="s">
        <v>116</v>
      </c>
      <c r="C40" s="9" t="s">
        <v>117</v>
      </c>
    </row>
    <row r="41" customFormat="false" ht="15" hidden="false" customHeight="true" outlineLevel="0" collapsed="false">
      <c r="A41" s="6" t="s">
        <v>118</v>
      </c>
      <c r="B41" s="3" t="s">
        <v>119</v>
      </c>
      <c r="C41" s="9" t="s">
        <v>120</v>
      </c>
    </row>
    <row r="42" customFormat="false" ht="15" hidden="false" customHeight="true" outlineLevel="0" collapsed="false">
      <c r="A42" s="6" t="s">
        <v>121</v>
      </c>
      <c r="B42" s="3" t="s">
        <v>122</v>
      </c>
      <c r="C42" s="9" t="s">
        <v>123</v>
      </c>
    </row>
    <row r="43" customFormat="false" ht="15" hidden="false" customHeight="true" outlineLevel="0" collapsed="false">
      <c r="A43" s="6" t="s">
        <v>124</v>
      </c>
      <c r="B43" s="3" t="s">
        <v>125</v>
      </c>
      <c r="C43" s="9" t="s">
        <v>126</v>
      </c>
    </row>
    <row r="44" customFormat="false" ht="15" hidden="false" customHeight="true" outlineLevel="0" collapsed="false">
      <c r="A44" s="6" t="s">
        <v>127</v>
      </c>
      <c r="B44" s="3" t="s">
        <v>128</v>
      </c>
      <c r="C44" s="9" t="s">
        <v>129</v>
      </c>
    </row>
    <row r="45" customFormat="false" ht="23.25" hidden="false" customHeight="true" outlineLevel="0" collapsed="false">
      <c r="A45" s="6" t="s">
        <v>130</v>
      </c>
      <c r="B45" s="3" t="s">
        <v>131</v>
      </c>
      <c r="C45" s="9" t="s">
        <v>132</v>
      </c>
    </row>
    <row r="46" customFormat="false" ht="23.25" hidden="false" customHeight="true" outlineLevel="0" collapsed="false">
      <c r="A46" s="6" t="s">
        <v>133</v>
      </c>
      <c r="B46" s="3" t="s">
        <v>134</v>
      </c>
      <c r="C46" s="9" t="s">
        <v>135</v>
      </c>
    </row>
    <row r="47" customFormat="false" ht="15" hidden="false" customHeight="true" outlineLevel="0" collapsed="false">
      <c r="A47" s="6" t="s">
        <v>136</v>
      </c>
      <c r="B47" s="3" t="s">
        <v>137</v>
      </c>
      <c r="C47" s="9" t="s">
        <v>138</v>
      </c>
    </row>
    <row r="48" customFormat="false" ht="23.25" hidden="false" customHeight="true" outlineLevel="0" collapsed="false">
      <c r="A48" s="6" t="s">
        <v>139</v>
      </c>
      <c r="B48" s="3" t="s">
        <v>140</v>
      </c>
      <c r="C48" s="9" t="s">
        <v>141</v>
      </c>
    </row>
    <row r="50" customFormat="false" ht="15" hidden="false" customHeight="true" outlineLevel="0" collapsed="false">
      <c r="A50" s="4" t="s">
        <v>142</v>
      </c>
    </row>
    <row r="51" customFormat="false" ht="15" hidden="false" customHeight="true" outlineLevel="0" collapsed="false">
      <c r="A51" s="8" t="s">
        <v>33</v>
      </c>
      <c r="B51" s="8" t="s">
        <v>34</v>
      </c>
      <c r="C51" s="8" t="s">
        <v>35</v>
      </c>
    </row>
    <row r="52" customFormat="false" ht="15" hidden="false" customHeight="true" outlineLevel="0" collapsed="false">
      <c r="A52" s="6" t="s">
        <v>143</v>
      </c>
      <c r="B52" s="3" t="s">
        <v>144</v>
      </c>
      <c r="C52" s="9" t="s">
        <v>145</v>
      </c>
    </row>
    <row r="53" customFormat="false" ht="15" hidden="false" customHeight="true" outlineLevel="0" collapsed="false">
      <c r="A53" s="6" t="s">
        <v>146</v>
      </c>
      <c r="B53" s="3" t="s">
        <v>147</v>
      </c>
      <c r="C53" s="9" t="s">
        <v>148</v>
      </c>
    </row>
    <row r="54" customFormat="false" ht="15" hidden="false" customHeight="true" outlineLevel="0" collapsed="false">
      <c r="A54" s="6" t="s">
        <v>149</v>
      </c>
      <c r="B54" s="3" t="s">
        <v>150</v>
      </c>
      <c r="C54" s="9" t="s">
        <v>151</v>
      </c>
    </row>
    <row r="55" customFormat="false" ht="15" hidden="false" customHeight="true" outlineLevel="0" collapsed="false">
      <c r="A55" s="6" t="s">
        <v>152</v>
      </c>
      <c r="B55" s="3" t="s">
        <v>153</v>
      </c>
      <c r="C55" s="9" t="s">
        <v>154</v>
      </c>
    </row>
    <row r="56" customFormat="false" ht="15" hidden="false" customHeight="true" outlineLevel="0" collapsed="false">
      <c r="A56" s="6" t="s">
        <v>155</v>
      </c>
      <c r="B56" s="3" t="s">
        <v>156</v>
      </c>
      <c r="C56" s="9" t="s">
        <v>157</v>
      </c>
    </row>
    <row r="57" customFormat="false" ht="15" hidden="false" customHeight="true" outlineLevel="0" collapsed="false">
      <c r="A57" s="6" t="s">
        <v>158</v>
      </c>
      <c r="B57" s="3" t="s">
        <v>159</v>
      </c>
      <c r="C57" s="9" t="s">
        <v>160</v>
      </c>
    </row>
    <row r="58" customFormat="false" ht="23.25" hidden="false" customHeight="true" outlineLevel="0" collapsed="false">
      <c r="A58" s="6" t="s">
        <v>161</v>
      </c>
      <c r="B58" s="3" t="s">
        <v>162</v>
      </c>
      <c r="C58" s="9" t="s">
        <v>163</v>
      </c>
    </row>
    <row r="59" customFormat="false" ht="15" hidden="false" customHeight="true" outlineLevel="0" collapsed="false">
      <c r="A59" s="6" t="s">
        <v>164</v>
      </c>
      <c r="B59" s="3" t="s">
        <v>165</v>
      </c>
      <c r="C59" s="9" t="s">
        <v>166</v>
      </c>
    </row>
    <row r="60" customFormat="false" ht="15" hidden="false" customHeight="true" outlineLevel="0" collapsed="false">
      <c r="A60" s="6" t="s">
        <v>167</v>
      </c>
      <c r="B60" s="3" t="s">
        <v>168</v>
      </c>
      <c r="C60" s="9" t="s">
        <v>169</v>
      </c>
    </row>
    <row r="61" customFormat="false" ht="15" hidden="false" customHeight="true" outlineLevel="0" collapsed="false">
      <c r="A61" s="6" t="s">
        <v>170</v>
      </c>
      <c r="B61" s="3" t="s">
        <v>171</v>
      </c>
      <c r="C61" s="10" t="s">
        <v>172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1" width="58"/>
    <col collapsed="false" customWidth="true" hidden="false" outlineLevel="0" max="5" min="2" style="1" width="16"/>
    <col collapsed="false" customWidth="true" hidden="false" outlineLevel="0" max="6" min="6" style="1" width="30"/>
  </cols>
  <sheetData>
    <row r="1" customFormat="false" ht="17.25" hidden="false" customHeight="true" outlineLevel="0" collapsed="false">
      <c r="A1" s="11" t="s">
        <v>173</v>
      </c>
    </row>
    <row r="2" customFormat="false" ht="15" hidden="false" customHeight="true" outlineLevel="0" collapsed="false">
      <c r="A2" s="3" t="s">
        <v>174</v>
      </c>
    </row>
    <row r="4" customFormat="false" ht="15" hidden="false" customHeight="true" outlineLevel="0" collapsed="false">
      <c r="A4" s="6" t="s">
        <v>175</v>
      </c>
      <c r="B4" s="12" t="s">
        <v>176</v>
      </c>
    </row>
    <row r="5" customFormat="false" ht="15" hidden="false" customHeight="true" outlineLevel="0" collapsed="false">
      <c r="A5" s="3" t="s">
        <v>177</v>
      </c>
      <c r="B5" s="3" t="n">
        <f aca="false">MATCH(B4,$C$7:$E$7,0)</f>
        <v>1</v>
      </c>
    </row>
    <row r="7" customFormat="false" ht="15" hidden="false" customHeight="true" outlineLevel="0" collapsed="false">
      <c r="A7" s="13" t="s">
        <v>178</v>
      </c>
      <c r="B7" s="13" t="s">
        <v>179</v>
      </c>
      <c r="C7" s="13" t="s">
        <v>176</v>
      </c>
      <c r="D7" s="13" t="s">
        <v>180</v>
      </c>
      <c r="E7" s="13" t="s">
        <v>181</v>
      </c>
      <c r="F7" s="13" t="s">
        <v>182</v>
      </c>
    </row>
    <row r="8" customFormat="false" ht="15" hidden="false" customHeight="true" outlineLevel="0" collapsed="false">
      <c r="A8" s="3" t="s">
        <v>183</v>
      </c>
      <c r="B8" s="14" t="n">
        <f aca="false">INDEX(C8:E8,$B$5)</f>
        <v>8</v>
      </c>
      <c r="C8" s="15" t="n">
        <v>8</v>
      </c>
      <c r="D8" s="15" t="n">
        <v>1</v>
      </c>
      <c r="E8" s="15" t="n">
        <v>8</v>
      </c>
      <c r="F8" s="16" t="s">
        <v>184</v>
      </c>
    </row>
    <row r="9" customFormat="false" ht="15" hidden="false" customHeight="true" outlineLevel="0" collapsed="false">
      <c r="A9" s="3" t="s">
        <v>185</v>
      </c>
      <c r="B9" s="14" t="n">
        <f aca="false">INDEX(C9:E9,$B$5)</f>
        <v>2</v>
      </c>
      <c r="C9" s="15" t="n">
        <v>2</v>
      </c>
      <c r="D9" s="15" t="n">
        <v>1</v>
      </c>
      <c r="E9" s="15" t="n">
        <v>2</v>
      </c>
      <c r="F9" s="16" t="s">
        <v>186</v>
      </c>
    </row>
    <row r="10" customFormat="false" ht="15" hidden="false" customHeight="true" outlineLevel="0" collapsed="false">
      <c r="A10" s="3" t="s">
        <v>187</v>
      </c>
      <c r="B10" s="14" t="n">
        <f aca="false">INDEX(C10:E10,$B$5)</f>
        <v>1</v>
      </c>
      <c r="C10" s="15" t="n">
        <v>1</v>
      </c>
      <c r="D10" s="15" t="n">
        <v>0</v>
      </c>
      <c r="E10" s="15" t="n">
        <v>1</v>
      </c>
      <c r="F10" s="16" t="s">
        <v>188</v>
      </c>
    </row>
    <row r="11" customFormat="false" ht="15" hidden="false" customHeight="true" outlineLevel="0" collapsed="false">
      <c r="A11" s="3" t="s">
        <v>189</v>
      </c>
      <c r="B11" s="14" t="n">
        <f aca="false">INDEX(C11:E11,$B$5)</f>
        <v>1</v>
      </c>
      <c r="C11" s="15" t="n">
        <v>1</v>
      </c>
      <c r="D11" s="15" t="n">
        <v>0</v>
      </c>
      <c r="E11" s="15" t="n">
        <v>1</v>
      </c>
      <c r="F11" s="16" t="s">
        <v>190</v>
      </c>
    </row>
    <row r="12" customFormat="false" ht="15" hidden="false" customHeight="true" outlineLevel="0" collapsed="false">
      <c r="A12" s="3" t="s">
        <v>191</v>
      </c>
      <c r="B12" s="17" t="n">
        <f aca="false">INDEX(C12:E12,$B$5)</f>
        <v>1</v>
      </c>
      <c r="C12" s="18" t="n">
        <v>1</v>
      </c>
      <c r="D12" s="18" t="n">
        <v>1</v>
      </c>
      <c r="E12" s="18" t="n">
        <v>0</v>
      </c>
      <c r="F12" s="16" t="s">
        <v>192</v>
      </c>
    </row>
    <row r="13" customFormat="false" ht="15" hidden="false" customHeight="true" outlineLevel="0" collapsed="false">
      <c r="A13" s="3" t="s">
        <v>193</v>
      </c>
      <c r="B13" s="19" t="n">
        <f aca="false">INDEX(C13:E13,$B$5)</f>
        <v>598</v>
      </c>
      <c r="C13" s="20" t="n">
        <v>598</v>
      </c>
      <c r="D13" s="20" t="n">
        <v>1580</v>
      </c>
      <c r="E13" s="20" t="n">
        <v>598</v>
      </c>
      <c r="F13" s="16" t="s">
        <v>194</v>
      </c>
    </row>
    <row r="14" customFormat="false" ht="15" hidden="false" customHeight="true" outlineLevel="0" collapsed="false">
      <c r="A14" s="3" t="s">
        <v>195</v>
      </c>
      <c r="B14" s="19" t="n">
        <f aca="false">INDEX(C14:E14,$B$5)</f>
        <v>2541</v>
      </c>
      <c r="C14" s="20" t="n">
        <v>2541</v>
      </c>
      <c r="D14" s="20" t="n">
        <v>7231</v>
      </c>
      <c r="E14" s="20" t="n">
        <v>2541</v>
      </c>
      <c r="F14" s="16" t="s">
        <v>196</v>
      </c>
    </row>
    <row r="15" customFormat="false" ht="15" hidden="false" customHeight="true" outlineLevel="0" collapsed="false">
      <c r="A15" s="3" t="s">
        <v>197</v>
      </c>
      <c r="B15" s="21" t="n">
        <f aca="false">INDEX(C15:E15,$B$5)</f>
        <v>110.4</v>
      </c>
      <c r="C15" s="22" t="n">
        <v>110.4</v>
      </c>
      <c r="D15" s="22" t="n">
        <v>18.4</v>
      </c>
      <c r="E15" s="22" t="n">
        <v>110.4</v>
      </c>
      <c r="F15" s="16" t="s">
        <v>198</v>
      </c>
    </row>
    <row r="16" customFormat="false" ht="15" hidden="false" customHeight="true" outlineLevel="0" collapsed="false">
      <c r="A16" s="3" t="s">
        <v>199</v>
      </c>
      <c r="B16" s="19" t="n">
        <f aca="false">INDEX(C16:E16,$B$5)</f>
        <v>2048264.0144041</v>
      </c>
      <c r="C16" s="20" t="n">
        <v>2048264.0144041</v>
      </c>
      <c r="D16" s="20" t="n">
        <v>1002023.13769726</v>
      </c>
      <c r="E16" s="20" t="n">
        <v>2048264.0144041</v>
      </c>
      <c r="F16" s="16" t="s">
        <v>200</v>
      </c>
    </row>
    <row r="18" customFormat="false" ht="15" hidden="false" customHeight="true" outlineLevel="0" collapsed="false">
      <c r="A18" s="23" t="s">
        <v>201</v>
      </c>
      <c r="B18" s="24"/>
      <c r="C18" s="24"/>
      <c r="D18" s="24"/>
      <c r="E18" s="24"/>
      <c r="F18" s="24"/>
    </row>
    <row r="19" customFormat="false" ht="15" hidden="false" customHeight="true" outlineLevel="0" collapsed="false">
      <c r="A19" s="3" t="s">
        <v>202</v>
      </c>
      <c r="B19" s="19" t="n">
        <f aca="false">Financing!B13</f>
        <v>2137147.8472551</v>
      </c>
    </row>
    <row r="20" customFormat="false" ht="15" hidden="false" customHeight="true" outlineLevel="0" collapsed="false">
      <c r="A20" s="3" t="s">
        <v>203</v>
      </c>
      <c r="B20" s="19" t="n">
        <f aca="false">B16</f>
        <v>2048264.0144041</v>
      </c>
    </row>
    <row r="21" customFormat="false" ht="15" hidden="false" customHeight="true" outlineLevel="0" collapsed="false">
      <c r="A21" s="3" t="s">
        <v>204</v>
      </c>
      <c r="B21" s="19" t="n">
        <f aca="false">B19+B20</f>
        <v>4185411.8616592</v>
      </c>
    </row>
    <row r="22" customFormat="false" ht="15" hidden="false" customHeight="true" outlineLevel="0" collapsed="false">
      <c r="A22" s="3" t="s">
        <v>205</v>
      </c>
      <c r="B22" s="19" t="n">
        <f aca="false">Class_NVIDIA_Datacenter!B110</f>
        <v>11545879.2811725</v>
      </c>
    </row>
    <row r="23" customFormat="false" ht="15" hidden="false" customHeight="true" outlineLevel="0" collapsed="false">
      <c r="A23" s="3" t="s">
        <v>206</v>
      </c>
      <c r="B23" s="25" t="n">
        <f aca="false">Class_NVIDIA_Datacenter!B111</f>
        <v>2.14994205316461</v>
      </c>
    </row>
    <row r="24" customFormat="false" ht="15" hidden="false" customHeight="true" outlineLevel="0" collapsed="false">
      <c r="A24" s="3" t="s">
        <v>207</v>
      </c>
      <c r="B24" s="19" t="n">
        <f aca="false">Financing!B26</f>
        <v>1156783.85170068</v>
      </c>
    </row>
    <row r="25" customFormat="false" ht="15" hidden="false" customHeight="true" outlineLevel="0" collapsed="false">
      <c r="A25" s="3" t="s">
        <v>208</v>
      </c>
      <c r="B25" s="19" t="n">
        <f aca="false">Financing!G24</f>
        <v>4677130.28606374</v>
      </c>
    </row>
    <row r="26" customFormat="false" ht="15" hidden="false" customHeight="true" outlineLevel="0" collapsed="false">
      <c r="A26" s="3" t="s">
        <v>209</v>
      </c>
      <c r="B26" s="17" t="n">
        <f aca="false">ServiceLines!G54</f>
        <v>0.665905631659056</v>
      </c>
    </row>
    <row r="28" customFormat="false" ht="15" hidden="false" customHeight="true" outlineLevel="0" collapsed="false">
      <c r="A28" s="26" t="s">
        <v>210</v>
      </c>
    </row>
    <row r="29" customFormat="false" ht="15" hidden="false" customHeight="true" outlineLevel="0" collapsed="false">
      <c r="A29" s="3" t="s">
        <v>211</v>
      </c>
    </row>
    <row r="30" customFormat="false" ht="15" hidden="false" customHeight="true" outlineLevel="0" collapsed="false">
      <c r="A30" s="3" t="s">
        <v>212</v>
      </c>
    </row>
    <row r="31" customFormat="false" ht="15" hidden="false" customHeight="true" outlineLevel="0" collapsed="false">
      <c r="A31" s="3" t="s">
        <v>213</v>
      </c>
    </row>
    <row r="32" customFormat="false" ht="15" hidden="false" customHeight="true" outlineLevel="0" collapsed="false">
      <c r="A32" s="3" t="s">
        <v>214</v>
      </c>
    </row>
    <row r="33" customFormat="false" ht="15" hidden="false" customHeight="true" outlineLevel="0" collapsed="false">
      <c r="A33" s="3" t="s">
        <v>215</v>
      </c>
    </row>
  </sheetData>
  <dataValidations count="1">
    <dataValidation allowBlank="false" errorStyle="stop" operator="between" showDropDown="false" showErrorMessage="false" showInputMessage="false" sqref="B4" type="list">
      <formula1>$C$7:$E$7</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5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0" topLeftCell="B1" activePane="topRight" state="frozen"/>
      <selection pane="topLeft" activeCell="A1" activeCellId="0" sqref="A1"/>
      <selection pane="topRight" activeCell="A1" activeCellId="0" sqref="A1"/>
    </sheetView>
  </sheetViews>
  <sheetFormatPr defaultColWidth="8.6796875" defaultRowHeight="15" customHeight="false" zeroHeight="false" outlineLevelRow="0" outlineLevelCol="0"/>
  <cols>
    <col collapsed="false" customWidth="true" hidden="false" outlineLevel="0" max="1" min="1" style="0" width="48"/>
    <col collapsed="false" customWidth="true" hidden="false" outlineLevel="0" max="8" min="2" style="0" width="13"/>
  </cols>
  <sheetData>
    <row r="1" customFormat="false" ht="17.35" hidden="false" customHeight="false" outlineLevel="0" collapsed="false">
      <c r="A1" s="27" t="s">
        <v>216</v>
      </c>
    </row>
    <row r="2" customFormat="false" ht="15" hidden="false" customHeight="false" outlineLevel="0" collapsed="false">
      <c r="A2" s="28" t="s">
        <v>217</v>
      </c>
    </row>
    <row r="3" customFormat="false" ht="15" hidden="false" customHeight="false" outlineLevel="0" collapsed="false">
      <c r="A3" s="28" t="s">
        <v>218</v>
      </c>
    </row>
    <row r="4" customFormat="false" ht="15" hidden="false" customHeight="false" outlineLevel="0" collapsed="false">
      <c r="A4" s="29"/>
    </row>
    <row r="5" customFormat="false" ht="15" hidden="false" customHeight="false" outlineLevel="0" collapsed="false">
      <c r="A5" s="30" t="s">
        <v>219</v>
      </c>
      <c r="B5" s="31"/>
      <c r="C5" s="31"/>
      <c r="D5" s="31"/>
      <c r="E5" s="31"/>
      <c r="F5" s="31"/>
      <c r="G5" s="31"/>
      <c r="H5" s="31"/>
    </row>
    <row r="6" customFormat="false" ht="15" hidden="false" customHeight="false" outlineLevel="0" collapsed="false">
      <c r="A6" s="28" t="s">
        <v>220</v>
      </c>
      <c r="B6" s="32" t="n">
        <v>8</v>
      </c>
      <c r="C6" s="32" t="n">
        <v>8</v>
      </c>
      <c r="D6" s="32" t="n">
        <v>16</v>
      </c>
      <c r="E6" s="32" t="n">
        <v>16</v>
      </c>
      <c r="F6" s="32" t="n">
        <v>16</v>
      </c>
      <c r="G6" s="32" t="n">
        <v>16</v>
      </c>
    </row>
    <row r="7" customFormat="false" ht="15" hidden="false" customHeight="false" outlineLevel="0" collapsed="false">
      <c r="A7" s="28" t="s">
        <v>221</v>
      </c>
      <c r="B7" s="32" t="n">
        <v>1</v>
      </c>
      <c r="C7" s="32" t="n">
        <v>1</v>
      </c>
      <c r="D7" s="32" t="n">
        <v>2</v>
      </c>
      <c r="E7" s="32" t="n">
        <v>2</v>
      </c>
      <c r="F7" s="32" t="n">
        <v>2</v>
      </c>
      <c r="G7" s="32" t="n">
        <v>2</v>
      </c>
    </row>
    <row r="8" customFormat="false" ht="15" hidden="false" customHeight="false" outlineLevel="0" collapsed="false">
      <c r="A8" s="28" t="s">
        <v>222</v>
      </c>
      <c r="B8" s="33" t="n">
        <v>9.2</v>
      </c>
      <c r="C8" s="33" t="n">
        <v>9.2</v>
      </c>
      <c r="D8" s="33" t="n">
        <v>18.4</v>
      </c>
      <c r="E8" s="33" t="n">
        <v>18.4</v>
      </c>
      <c r="F8" s="33" t="n">
        <v>18.4</v>
      </c>
      <c r="G8" s="33" t="n">
        <v>18.4</v>
      </c>
    </row>
    <row r="9" customFormat="false" ht="15" hidden="false" customHeight="false" outlineLevel="0" collapsed="false">
      <c r="A9" s="28" t="s">
        <v>223</v>
      </c>
      <c r="B9" s="34" t="n">
        <v>200</v>
      </c>
      <c r="C9" s="34" t="n">
        <v>600</v>
      </c>
      <c r="D9" s="34" t="n">
        <v>1200</v>
      </c>
      <c r="E9" s="34" t="n">
        <v>2000</v>
      </c>
      <c r="F9" s="34" t="n">
        <v>2800</v>
      </c>
      <c r="G9" s="34" t="n">
        <v>3500</v>
      </c>
    </row>
    <row r="10" customFormat="false" ht="15" hidden="false" customHeight="false" outlineLevel="0" collapsed="false">
      <c r="A10" s="28" t="s">
        <v>224</v>
      </c>
      <c r="B10" s="32" t="n">
        <v>2</v>
      </c>
      <c r="C10" s="32" t="n">
        <v>2</v>
      </c>
      <c r="D10" s="32" t="n">
        <v>4</v>
      </c>
      <c r="E10" s="32" t="n">
        <v>6</v>
      </c>
      <c r="F10" s="32" t="n">
        <v>8</v>
      </c>
      <c r="G10" s="32" t="n">
        <v>10</v>
      </c>
    </row>
    <row r="11" customFormat="false" ht="15" hidden="false" customHeight="false" outlineLevel="0" collapsed="false">
      <c r="A11" s="29"/>
    </row>
    <row r="12" customFormat="false" ht="15" hidden="false" customHeight="false" outlineLevel="0" collapsed="false">
      <c r="A12" s="30" t="s">
        <v>225</v>
      </c>
      <c r="B12" s="31"/>
      <c r="C12" s="31"/>
      <c r="D12" s="31"/>
      <c r="E12" s="31"/>
      <c r="F12" s="31"/>
      <c r="G12" s="31"/>
      <c r="H12" s="31"/>
    </row>
    <row r="13" customFormat="false" ht="15" hidden="false" customHeight="false" outlineLevel="0" collapsed="false">
      <c r="A13" s="28" t="s">
        <v>226</v>
      </c>
      <c r="B13" s="35" t="n">
        <v>178000</v>
      </c>
      <c r="C13" s="35"/>
      <c r="D13" s="35"/>
      <c r="E13" s="35"/>
      <c r="F13" s="35"/>
      <c r="G13" s="35"/>
    </row>
    <row r="14" customFormat="false" ht="15" hidden="false" customHeight="false" outlineLevel="0" collapsed="false">
      <c r="A14" s="28" t="s">
        <v>227</v>
      </c>
      <c r="B14" s="35" t="n">
        <v>616568.217881538</v>
      </c>
      <c r="C14" s="35"/>
      <c r="D14" s="35"/>
      <c r="E14" s="35"/>
      <c r="F14" s="35"/>
      <c r="G14" s="35"/>
    </row>
    <row r="15" customFormat="false" ht="15" hidden="false" customHeight="false" outlineLevel="0" collapsed="false">
      <c r="A15" s="36" t="s">
        <v>202</v>
      </c>
      <c r="B15" s="37" t="n">
        <v>794568.217881538</v>
      </c>
      <c r="C15" s="37"/>
      <c r="D15" s="37"/>
      <c r="E15" s="37"/>
      <c r="F15" s="37"/>
      <c r="G15" s="37"/>
    </row>
    <row r="16" customFormat="false" ht="15" hidden="false" customHeight="false" outlineLevel="0" collapsed="false">
      <c r="A16" s="28" t="s">
        <v>228</v>
      </c>
      <c r="B16" s="35" t="n">
        <v>1002023.13769726</v>
      </c>
      <c r="C16" s="35"/>
      <c r="D16" s="35"/>
      <c r="E16" s="35"/>
      <c r="F16" s="35"/>
      <c r="G16" s="35"/>
    </row>
    <row r="17" customFormat="false" ht="15" hidden="false" customHeight="false" outlineLevel="0" collapsed="false">
      <c r="A17" s="38" t="s">
        <v>229</v>
      </c>
      <c r="B17" s="39" t="n">
        <v>1796591.3555788</v>
      </c>
      <c r="C17" s="39"/>
      <c r="D17" s="39"/>
      <c r="E17" s="39"/>
      <c r="F17" s="39"/>
      <c r="G17" s="39"/>
    </row>
    <row r="18" customFormat="false" ht="15" hidden="false" customHeight="false" outlineLevel="0" collapsed="false">
      <c r="A18" s="28" t="s">
        <v>230</v>
      </c>
      <c r="B18" s="35" t="n">
        <v>-201634.201219138</v>
      </c>
      <c r="C18" s="35" t="n">
        <v>-201634.201219138</v>
      </c>
      <c r="D18" s="35" t="n">
        <v>-201634.201219138</v>
      </c>
      <c r="E18" s="35" t="n">
        <v>-201634.201219138</v>
      </c>
      <c r="F18" s="35" t="n">
        <v>-201634.201219138</v>
      </c>
      <c r="G18" s="35" t="n">
        <v>0</v>
      </c>
    </row>
    <row r="19" customFormat="false" ht="15" hidden="false" customHeight="false" outlineLevel="0" collapsed="false">
      <c r="A19" s="29"/>
    </row>
    <row r="20" customFormat="false" ht="15" hidden="false" customHeight="false" outlineLevel="0" collapsed="false">
      <c r="A20" s="30" t="s">
        <v>231</v>
      </c>
      <c r="B20" s="31"/>
      <c r="C20" s="31"/>
      <c r="D20" s="31"/>
      <c r="E20" s="31"/>
      <c r="F20" s="31"/>
      <c r="G20" s="31"/>
      <c r="H20" s="31"/>
    </row>
    <row r="21" customFormat="false" ht="15" hidden="false" customHeight="false" outlineLevel="0" collapsed="false">
      <c r="A21" s="36" t="s">
        <v>232</v>
      </c>
      <c r="B21" s="37" t="n">
        <v>5088097.68217641</v>
      </c>
      <c r="C21" s="37"/>
      <c r="D21" s="37"/>
      <c r="E21" s="37"/>
      <c r="F21" s="37"/>
      <c r="G21" s="37"/>
    </row>
    <row r="22" customFormat="false" ht="15" hidden="false" customHeight="false" outlineLevel="0" collapsed="false">
      <c r="A22" s="36" t="s">
        <v>206</v>
      </c>
      <c r="B22" s="40" t="n">
        <v>3.25496543188069</v>
      </c>
      <c r="C22" s="40"/>
      <c r="D22" s="40"/>
      <c r="E22" s="40"/>
      <c r="F22" s="40"/>
      <c r="G22" s="40"/>
    </row>
    <row r="23" customFormat="false" ht="15" hidden="false" customHeight="false" outlineLevel="0" collapsed="false">
      <c r="A23" s="28" t="s">
        <v>233</v>
      </c>
      <c r="B23" s="35" t="n">
        <v>1870437.43826095</v>
      </c>
      <c r="C23" s="35"/>
      <c r="D23" s="35"/>
      <c r="E23" s="35"/>
      <c r="F23" s="35"/>
      <c r="G23" s="35"/>
    </row>
    <row r="24" customFormat="false" ht="15" hidden="false" customHeight="false" outlineLevel="0" collapsed="false">
      <c r="A24" s="28" t="s">
        <v>234</v>
      </c>
      <c r="B24" s="35" t="n">
        <v>2380343.20254049</v>
      </c>
      <c r="C24" s="35"/>
      <c r="D24" s="35"/>
      <c r="E24" s="35"/>
      <c r="F24" s="35"/>
      <c r="G24" s="35"/>
    </row>
    <row r="25" customFormat="false" ht="15" hidden="false" customHeight="false" outlineLevel="0" collapsed="false">
      <c r="A25" s="28" t="s">
        <v>207</v>
      </c>
      <c r="B25" s="35" t="n">
        <v>371746.027910462</v>
      </c>
      <c r="C25" s="35"/>
      <c r="D25" s="35"/>
      <c r="E25" s="35"/>
      <c r="F25" s="35"/>
      <c r="G25" s="35"/>
    </row>
    <row r="26" customFormat="false" ht="15" hidden="false" customHeight="false" outlineLevel="0" collapsed="false">
      <c r="A26" s="29"/>
    </row>
    <row r="27" customFormat="false" ht="15" hidden="false" customHeight="false" outlineLevel="0" collapsed="false">
      <c r="A27" s="30" t="s">
        <v>235</v>
      </c>
      <c r="B27" s="31"/>
      <c r="C27" s="31"/>
      <c r="D27" s="31"/>
      <c r="E27" s="31"/>
      <c r="F27" s="31"/>
      <c r="G27" s="31"/>
      <c r="H27" s="31"/>
    </row>
    <row r="28" customFormat="false" ht="15" hidden="false" customHeight="false" outlineLevel="0" collapsed="false">
      <c r="A28" s="36"/>
      <c r="B28" s="41" t="s">
        <v>236</v>
      </c>
      <c r="C28" s="41" t="s">
        <v>237</v>
      </c>
      <c r="D28" s="41" t="s">
        <v>238</v>
      </c>
      <c r="E28" s="41" t="s">
        <v>239</v>
      </c>
      <c r="F28" s="41" t="s">
        <v>240</v>
      </c>
      <c r="G28" s="41" t="s">
        <v>241</v>
      </c>
      <c r="H28" s="41" t="s">
        <v>242</v>
      </c>
    </row>
    <row r="29" customFormat="false" ht="15" hidden="false" customHeight="false" outlineLevel="0" collapsed="false">
      <c r="A29" s="28" t="s">
        <v>243</v>
      </c>
      <c r="B29" s="35" t="n">
        <v>218195.9584</v>
      </c>
      <c r="C29" s="35" t="n">
        <v>413237.93088</v>
      </c>
      <c r="D29" s="35" t="n">
        <v>714828.159232</v>
      </c>
      <c r="E29" s="35" t="n">
        <v>988036.829552</v>
      </c>
      <c r="F29" s="35" t="n">
        <v>1246256.15214912</v>
      </c>
      <c r="G29" s="35" t="n">
        <v>1507542.65196329</v>
      </c>
      <c r="H29" s="37" t="n">
        <v>5088097.68217641</v>
      </c>
    </row>
    <row r="30" customFormat="false" ht="15" hidden="false" customHeight="false" outlineLevel="0" collapsed="false">
      <c r="A30" s="28" t="s">
        <v>244</v>
      </c>
      <c r="B30" s="35" t="n">
        <v>-204743.524544</v>
      </c>
      <c r="C30" s="35" t="n">
        <v>-258244.1522688</v>
      </c>
      <c r="D30" s="35" t="n">
        <v>-335468.76501232</v>
      </c>
      <c r="E30" s="35" t="n">
        <v>-399652.44021552</v>
      </c>
      <c r="F30" s="35" t="n">
        <v>-463717.021941491</v>
      </c>
      <c r="G30" s="35" t="n">
        <v>-520700.787439633</v>
      </c>
      <c r="H30" s="37" t="n">
        <v>-2182526.69142176</v>
      </c>
    </row>
    <row r="31" customFormat="false" ht="15" hidden="false" customHeight="false" outlineLevel="0" collapsed="false">
      <c r="A31" s="28" t="s">
        <v>245</v>
      </c>
      <c r="B31" s="35" t="n">
        <v>-178000</v>
      </c>
      <c r="C31" s="35" t="n">
        <v>-10000</v>
      </c>
      <c r="D31" s="35" t="n">
        <v>-103625</v>
      </c>
      <c r="E31" s="35" t="n">
        <v>-10000</v>
      </c>
      <c r="F31" s="35" t="n">
        <v>0</v>
      </c>
      <c r="G31" s="35" t="n">
        <v>-10000</v>
      </c>
      <c r="H31" s="37" t="n">
        <v>-311625</v>
      </c>
    </row>
    <row r="32" customFormat="false" ht="15" hidden="false" customHeight="false" outlineLevel="0" collapsed="false">
      <c r="A32" s="36" t="s">
        <v>246</v>
      </c>
      <c r="B32" s="37" t="n">
        <v>-164547.566144</v>
      </c>
      <c r="C32" s="37" t="n">
        <v>144993.7786112</v>
      </c>
      <c r="D32" s="37" t="n">
        <v>275734.39421968</v>
      </c>
      <c r="E32" s="37" t="n">
        <v>578384.38933648</v>
      </c>
      <c r="F32" s="37" t="n">
        <v>782539.130207629</v>
      </c>
      <c r="G32" s="37" t="n">
        <v>976841.864523655</v>
      </c>
      <c r="H32" s="37" t="n">
        <v>2593945.99075464</v>
      </c>
    </row>
    <row r="33" customFormat="false" ht="15" hidden="false" customHeight="false" outlineLevel="0" collapsed="false">
      <c r="A33" s="28" t="s">
        <v>247</v>
      </c>
      <c r="B33" s="35" t="n">
        <v>794568.217881538</v>
      </c>
      <c r="C33" s="35" t="n">
        <v>0</v>
      </c>
      <c r="D33" s="35" t="n">
        <v>0</v>
      </c>
      <c r="E33" s="35" t="n">
        <v>0</v>
      </c>
      <c r="F33" s="35" t="n">
        <v>0</v>
      </c>
      <c r="G33" s="35" t="n">
        <v>0</v>
      </c>
      <c r="H33" s="37" t="n">
        <v>794568.217881538</v>
      </c>
    </row>
    <row r="34" customFormat="false" ht="15" hidden="false" customHeight="false" outlineLevel="0" collapsed="false">
      <c r="A34" s="28" t="s">
        <v>248</v>
      </c>
      <c r="B34" s="35" t="n">
        <v>-201634.201219138</v>
      </c>
      <c r="C34" s="35" t="n">
        <v>-201634.201219138</v>
      </c>
      <c r="D34" s="35" t="n">
        <v>-201634.201219138</v>
      </c>
      <c r="E34" s="35" t="n">
        <v>-201634.201219138</v>
      </c>
      <c r="F34" s="35" t="n">
        <v>-201634.201219138</v>
      </c>
      <c r="G34" s="35" t="n">
        <v>0</v>
      </c>
      <c r="H34" s="37" t="n">
        <v>-1008171.00609569</v>
      </c>
    </row>
    <row r="35" customFormat="false" ht="15" hidden="false" customHeight="false" outlineLevel="0" collapsed="false">
      <c r="A35" s="38" t="s">
        <v>249</v>
      </c>
      <c r="B35" s="39" t="n">
        <v>428386.4505184</v>
      </c>
      <c r="C35" s="39" t="n">
        <v>371746.027910462</v>
      </c>
      <c r="D35" s="39" t="n">
        <v>445846.220911003</v>
      </c>
      <c r="E35" s="39" t="n">
        <v>822596.409028345</v>
      </c>
      <c r="F35" s="39" t="n">
        <v>1403501.33801684</v>
      </c>
      <c r="G35" s="39" t="n">
        <v>2380343.20254049</v>
      </c>
    </row>
    <row r="36" customFormat="false" ht="15" hidden="false" customHeight="false" outlineLevel="0" collapsed="false">
      <c r="A36" s="29"/>
    </row>
    <row r="37" customFormat="false" ht="15" hidden="false" customHeight="false" outlineLevel="0" collapsed="false">
      <c r="A37" s="30" t="s">
        <v>250</v>
      </c>
      <c r="B37" s="31"/>
      <c r="C37" s="31"/>
      <c r="D37" s="31"/>
      <c r="E37" s="31"/>
      <c r="F37" s="31"/>
      <c r="G37" s="31"/>
      <c r="H37" s="31"/>
    </row>
    <row r="38" customFormat="false" ht="15" hidden="false" customHeight="false" outlineLevel="0" collapsed="false">
      <c r="A38" s="36"/>
      <c r="B38" s="41" t="s">
        <v>236</v>
      </c>
      <c r="C38" s="41" t="s">
        <v>237</v>
      </c>
      <c r="D38" s="41" t="s">
        <v>238</v>
      </c>
      <c r="E38" s="41" t="s">
        <v>239</v>
      </c>
      <c r="F38" s="41" t="s">
        <v>240</v>
      </c>
      <c r="G38" s="41" t="s">
        <v>241</v>
      </c>
      <c r="H38" s="41" t="s">
        <v>242</v>
      </c>
    </row>
    <row r="39" customFormat="false" ht="15" hidden="false" customHeight="false" outlineLevel="0" collapsed="false">
      <c r="A39" s="28" t="s">
        <v>251</v>
      </c>
      <c r="B39" s="35" t="n">
        <v>134245.9584</v>
      </c>
      <c r="C39" s="35" t="n">
        <v>112353.77088</v>
      </c>
      <c r="D39" s="35" t="n">
        <v>188543.999232</v>
      </c>
      <c r="E39" s="35" t="n">
        <v>132118.509552</v>
      </c>
      <c r="F39" s="35" t="n">
        <v>89037.8321491201</v>
      </c>
      <c r="G39" s="35" t="n">
        <v>56340.1719632901</v>
      </c>
      <c r="H39" s="37" t="n">
        <v>712640.24217641</v>
      </c>
    </row>
    <row r="40" customFormat="false" ht="15" hidden="false" customHeight="false" outlineLevel="0" collapsed="false">
      <c r="A40" s="28" t="s">
        <v>223</v>
      </c>
      <c r="B40" s="35" t="n">
        <v>55200</v>
      </c>
      <c r="C40" s="35" t="n">
        <v>165600</v>
      </c>
      <c r="D40" s="35" t="n">
        <v>331200</v>
      </c>
      <c r="E40" s="35" t="n">
        <v>552000</v>
      </c>
      <c r="F40" s="35" t="n">
        <v>772800</v>
      </c>
      <c r="G40" s="35" t="n">
        <v>966000</v>
      </c>
      <c r="H40" s="37" t="n">
        <v>2842800</v>
      </c>
    </row>
    <row r="41" customFormat="false" ht="15" hidden="false" customHeight="false" outlineLevel="0" collapsed="false">
      <c r="A41" s="28" t="s">
        <v>252</v>
      </c>
      <c r="B41" s="35" t="n">
        <v>0</v>
      </c>
      <c r="C41" s="35" t="n">
        <v>38684.16</v>
      </c>
      <c r="D41" s="35" t="n">
        <v>38684.16</v>
      </c>
      <c r="E41" s="35" t="n">
        <v>77368.32</v>
      </c>
      <c r="F41" s="35" t="n">
        <v>77368.32</v>
      </c>
      <c r="G41" s="35" t="n">
        <v>116052.48</v>
      </c>
      <c r="H41" s="37" t="n">
        <v>348157.44</v>
      </c>
    </row>
    <row r="42" customFormat="false" ht="15" hidden="false" customHeight="false" outlineLevel="0" collapsed="false">
      <c r="A42" s="28" t="s">
        <v>253</v>
      </c>
      <c r="B42" s="35" t="n">
        <v>28750</v>
      </c>
      <c r="C42" s="35" t="n">
        <v>96600</v>
      </c>
      <c r="D42" s="35" t="n">
        <v>156400</v>
      </c>
      <c r="E42" s="35" t="n">
        <v>226550</v>
      </c>
      <c r="F42" s="35" t="n">
        <v>307050</v>
      </c>
      <c r="G42" s="35" t="n">
        <v>369150</v>
      </c>
      <c r="H42" s="37" t="n">
        <v>1184500</v>
      </c>
    </row>
    <row r="43" customFormat="false" ht="15" hidden="false" customHeight="false" outlineLevel="0" collapsed="false">
      <c r="A43" s="38" t="s">
        <v>254</v>
      </c>
      <c r="B43" s="39" t="n">
        <v>218195.9584</v>
      </c>
      <c r="C43" s="39" t="n">
        <v>413237.93088</v>
      </c>
      <c r="D43" s="39" t="n">
        <v>714828.159232</v>
      </c>
      <c r="E43" s="39" t="n">
        <v>988036.829552</v>
      </c>
      <c r="F43" s="39" t="n">
        <v>1246256.15214912</v>
      </c>
      <c r="G43" s="39" t="n">
        <v>1507542.65196329</v>
      </c>
      <c r="H43" s="37" t="n">
        <v>5088097.68217641</v>
      </c>
    </row>
    <row r="44" customFormat="false" ht="15" hidden="false" customHeight="false" outlineLevel="0" collapsed="false">
      <c r="A44" s="29"/>
    </row>
    <row r="45" customFormat="false" ht="15" hidden="false" customHeight="false" outlineLevel="0" collapsed="false">
      <c r="A45" s="30" t="s">
        <v>255</v>
      </c>
      <c r="B45" s="31"/>
      <c r="C45" s="31"/>
      <c r="D45" s="31"/>
      <c r="E45" s="31"/>
      <c r="F45" s="31"/>
      <c r="G45" s="31"/>
      <c r="H45" s="31"/>
    </row>
    <row r="46" customFormat="false" ht="15" hidden="false" customHeight="false" outlineLevel="0" collapsed="false">
      <c r="A46" s="28" t="s">
        <v>256</v>
      </c>
    </row>
    <row r="47" customFormat="false" ht="15" hidden="false" customHeight="false" outlineLevel="0" collapsed="false">
      <c r="A47" s="28" t="s">
        <v>257</v>
      </c>
    </row>
    <row r="48" customFormat="false" ht="15" hidden="false" customHeight="false" outlineLevel="0" collapsed="false">
      <c r="A48" s="28" t="s">
        <v>258</v>
      </c>
    </row>
    <row r="49" customFormat="false" ht="15" hidden="false" customHeight="false" outlineLevel="0" collapsed="false">
      <c r="A49" s="28" t="s">
        <v>259</v>
      </c>
    </row>
    <row r="50" customFormat="false" ht="15" hidden="false" customHeight="false" outlineLevel="0" collapsed="false">
      <c r="A50" s="29"/>
    </row>
  </sheetData>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5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0" topLeftCell="B1" activePane="topRight" state="frozen"/>
      <selection pane="topLeft" activeCell="A1" activeCellId="0" sqref="A1"/>
      <selection pane="topRight" activeCell="A1" activeCellId="0" sqref="A1"/>
    </sheetView>
  </sheetViews>
  <sheetFormatPr defaultColWidth="8.6796875" defaultRowHeight="15" customHeight="false" zeroHeight="false" outlineLevelRow="0" outlineLevelCol="0"/>
  <cols>
    <col collapsed="false" customWidth="true" hidden="false" outlineLevel="0" max="1" min="1" style="0" width="48"/>
    <col collapsed="false" customWidth="true" hidden="false" outlineLevel="0" max="8" min="2" style="0" width="13"/>
  </cols>
  <sheetData>
    <row r="1" customFormat="false" ht="17.35" hidden="false" customHeight="false" outlineLevel="0" collapsed="false">
      <c r="A1" s="27" t="s">
        <v>260</v>
      </c>
    </row>
    <row r="2" customFormat="false" ht="15" hidden="false" customHeight="false" outlineLevel="0" collapsed="false">
      <c r="A2" s="28" t="s">
        <v>261</v>
      </c>
    </row>
    <row r="3" customFormat="false" ht="15" hidden="false" customHeight="false" outlineLevel="0" collapsed="false">
      <c r="A3" s="28" t="s">
        <v>262</v>
      </c>
    </row>
    <row r="4" customFormat="false" ht="15" hidden="false" customHeight="false" outlineLevel="0" collapsed="false">
      <c r="A4" s="29"/>
    </row>
    <row r="5" customFormat="false" ht="15" hidden="false" customHeight="false" outlineLevel="0" collapsed="false">
      <c r="A5" s="30" t="s">
        <v>219</v>
      </c>
      <c r="B5" s="31"/>
      <c r="C5" s="31"/>
      <c r="D5" s="31"/>
      <c r="E5" s="31"/>
      <c r="F5" s="31"/>
      <c r="G5" s="31"/>
      <c r="H5" s="31"/>
    </row>
    <row r="6" customFormat="false" ht="15" hidden="false" customHeight="false" outlineLevel="0" collapsed="false">
      <c r="A6" s="28" t="s">
        <v>220</v>
      </c>
      <c r="B6" s="32" t="n">
        <v>64</v>
      </c>
      <c r="C6" s="32" t="n">
        <v>64</v>
      </c>
      <c r="D6" s="32" t="n">
        <v>88</v>
      </c>
      <c r="E6" s="32" t="n">
        <v>88</v>
      </c>
      <c r="F6" s="32" t="n">
        <v>96</v>
      </c>
      <c r="G6" s="32" t="n">
        <v>96</v>
      </c>
    </row>
    <row r="7" customFormat="false" ht="15" hidden="false" customHeight="false" outlineLevel="0" collapsed="false">
      <c r="A7" s="28" t="s">
        <v>221</v>
      </c>
      <c r="B7" s="32" t="n">
        <v>8</v>
      </c>
      <c r="C7" s="32" t="n">
        <v>8</v>
      </c>
      <c r="D7" s="32" t="n">
        <v>11</v>
      </c>
      <c r="E7" s="32" t="n">
        <v>11</v>
      </c>
      <c r="F7" s="32" t="n">
        <v>12</v>
      </c>
      <c r="G7" s="32" t="n">
        <v>12</v>
      </c>
    </row>
    <row r="8" customFormat="false" ht="15" hidden="false" customHeight="false" outlineLevel="0" collapsed="false">
      <c r="A8" s="28" t="s">
        <v>222</v>
      </c>
      <c r="B8" s="33" t="n">
        <v>73.6</v>
      </c>
      <c r="C8" s="33" t="n">
        <v>73.6</v>
      </c>
      <c r="D8" s="33" t="n">
        <v>101.2</v>
      </c>
      <c r="E8" s="33" t="n">
        <v>101.2</v>
      </c>
      <c r="F8" s="33" t="n">
        <v>110.4</v>
      </c>
      <c r="G8" s="33" t="n">
        <v>110.4</v>
      </c>
    </row>
    <row r="9" customFormat="false" ht="15" hidden="false" customHeight="false" outlineLevel="0" collapsed="false">
      <c r="A9" s="28" t="s">
        <v>223</v>
      </c>
      <c r="B9" s="34" t="n">
        <v>200</v>
      </c>
      <c r="C9" s="34" t="n">
        <v>600</v>
      </c>
      <c r="D9" s="34" t="n">
        <v>1200</v>
      </c>
      <c r="E9" s="34" t="n">
        <v>2000</v>
      </c>
      <c r="F9" s="34" t="n">
        <v>2800</v>
      </c>
      <c r="G9" s="34" t="n">
        <v>3500</v>
      </c>
    </row>
    <row r="10" customFormat="false" ht="15" hidden="false" customHeight="false" outlineLevel="0" collapsed="false">
      <c r="A10" s="28" t="s">
        <v>224</v>
      </c>
      <c r="B10" s="32" t="n">
        <v>2</v>
      </c>
      <c r="C10" s="32" t="n">
        <v>2</v>
      </c>
      <c r="D10" s="32" t="n">
        <v>4</v>
      </c>
      <c r="E10" s="32" t="n">
        <v>6</v>
      </c>
      <c r="F10" s="32" t="n">
        <v>8</v>
      </c>
      <c r="G10" s="32" t="n">
        <v>10</v>
      </c>
    </row>
    <row r="11" customFormat="false" ht="15" hidden="false" customHeight="false" outlineLevel="0" collapsed="false">
      <c r="A11" s="29"/>
    </row>
    <row r="12" customFormat="false" ht="15" hidden="false" customHeight="false" outlineLevel="0" collapsed="false">
      <c r="A12" s="30" t="s">
        <v>225</v>
      </c>
      <c r="B12" s="31"/>
      <c r="C12" s="31"/>
      <c r="D12" s="31"/>
      <c r="E12" s="31"/>
      <c r="F12" s="31"/>
      <c r="G12" s="31"/>
      <c r="H12" s="31"/>
    </row>
    <row r="13" customFormat="false" ht="15" hidden="false" customHeight="false" outlineLevel="0" collapsed="false">
      <c r="A13" s="28" t="s">
        <v>226</v>
      </c>
      <c r="B13" s="35" t="n">
        <v>1424000</v>
      </c>
      <c r="C13" s="35"/>
      <c r="D13" s="35"/>
      <c r="E13" s="35"/>
      <c r="F13" s="35"/>
      <c r="G13" s="35"/>
    </row>
    <row r="14" customFormat="false" ht="15" hidden="false" customHeight="false" outlineLevel="0" collapsed="false">
      <c r="A14" s="28" t="s">
        <v>227</v>
      </c>
      <c r="B14" s="35" t="n">
        <v>713147.847255103</v>
      </c>
      <c r="C14" s="35"/>
      <c r="D14" s="35"/>
      <c r="E14" s="35"/>
      <c r="F14" s="35"/>
      <c r="G14" s="35"/>
    </row>
    <row r="15" customFormat="false" ht="15" hidden="false" customHeight="false" outlineLevel="0" collapsed="false">
      <c r="A15" s="36" t="s">
        <v>202</v>
      </c>
      <c r="B15" s="37" t="n">
        <v>2137147.8472551</v>
      </c>
      <c r="C15" s="37"/>
      <c r="D15" s="37"/>
      <c r="E15" s="37"/>
      <c r="F15" s="37"/>
      <c r="G15" s="37"/>
    </row>
    <row r="16" customFormat="false" ht="15" hidden="false" customHeight="false" outlineLevel="0" collapsed="false">
      <c r="A16" s="28" t="s">
        <v>263</v>
      </c>
      <c r="B16" s="35" t="n">
        <v>2048264.0144041</v>
      </c>
      <c r="C16" s="35"/>
      <c r="D16" s="35"/>
      <c r="E16" s="35"/>
      <c r="F16" s="35"/>
      <c r="G16" s="35"/>
    </row>
    <row r="17" customFormat="false" ht="15" hidden="false" customHeight="false" outlineLevel="0" collapsed="false">
      <c r="A17" s="38" t="s">
        <v>229</v>
      </c>
      <c r="B17" s="39" t="n">
        <v>4185411.8616592</v>
      </c>
      <c r="C17" s="39"/>
      <c r="D17" s="39"/>
      <c r="E17" s="39"/>
      <c r="F17" s="39"/>
      <c r="G17" s="39"/>
    </row>
    <row r="18" customFormat="false" ht="15" hidden="false" customHeight="false" outlineLevel="0" collapsed="false">
      <c r="A18" s="28" t="s">
        <v>230</v>
      </c>
      <c r="B18" s="35" t="n">
        <v>-542334.930306424</v>
      </c>
      <c r="C18" s="35" t="n">
        <v>-542334.930306424</v>
      </c>
      <c r="D18" s="35" t="n">
        <v>-542334.930306424</v>
      </c>
      <c r="E18" s="35" t="n">
        <v>-542334.930306424</v>
      </c>
      <c r="F18" s="35" t="n">
        <v>-542334.930306424</v>
      </c>
      <c r="G18" s="35" t="n">
        <v>0</v>
      </c>
    </row>
    <row r="19" customFormat="false" ht="15" hidden="false" customHeight="false" outlineLevel="0" collapsed="false">
      <c r="A19" s="29"/>
    </row>
    <row r="20" customFormat="false" ht="15" hidden="false" customHeight="false" outlineLevel="0" collapsed="false">
      <c r="A20" s="30" t="s">
        <v>231</v>
      </c>
      <c r="B20" s="31"/>
      <c r="C20" s="31"/>
      <c r="D20" s="31"/>
      <c r="E20" s="31"/>
      <c r="F20" s="31"/>
      <c r="G20" s="31"/>
      <c r="H20" s="31"/>
    </row>
    <row r="21" customFormat="false" ht="15" hidden="false" customHeight="false" outlineLevel="0" collapsed="false">
      <c r="A21" s="36" t="s">
        <v>232</v>
      </c>
      <c r="B21" s="37" t="n">
        <v>11545879.2811725</v>
      </c>
      <c r="C21" s="37"/>
      <c r="D21" s="37"/>
      <c r="E21" s="37"/>
      <c r="F21" s="37"/>
      <c r="G21" s="37"/>
    </row>
    <row r="22" customFormat="false" ht="15" hidden="false" customHeight="false" outlineLevel="0" collapsed="false">
      <c r="A22" s="36" t="s">
        <v>206</v>
      </c>
      <c r="B22" s="40" t="n">
        <v>2.14994205316461</v>
      </c>
      <c r="C22" s="40"/>
      <c r="D22" s="40"/>
      <c r="E22" s="40"/>
      <c r="F22" s="40"/>
      <c r="G22" s="40"/>
    </row>
    <row r="23" customFormat="false" ht="15" hidden="false" customHeight="false" outlineLevel="0" collapsed="false">
      <c r="A23" s="28" t="s">
        <v>233</v>
      </c>
      <c r="B23" s="35" t="n">
        <v>3947663.90415788</v>
      </c>
      <c r="C23" s="35"/>
      <c r="D23" s="35"/>
      <c r="E23" s="35"/>
      <c r="F23" s="35"/>
      <c r="G23" s="35"/>
    </row>
    <row r="24" customFormat="false" ht="15" hidden="false" customHeight="false" outlineLevel="0" collapsed="false">
      <c r="A24" s="28" t="s">
        <v>234</v>
      </c>
      <c r="B24" s="35" t="n">
        <v>4677130.28606374</v>
      </c>
      <c r="C24" s="35"/>
      <c r="D24" s="35"/>
      <c r="E24" s="35"/>
      <c r="F24" s="35"/>
      <c r="G24" s="35"/>
    </row>
    <row r="25" customFormat="false" ht="15" hidden="false" customHeight="false" outlineLevel="0" collapsed="false">
      <c r="A25" s="28" t="s">
        <v>207</v>
      </c>
      <c r="B25" s="35" t="n">
        <v>1156783.85170068</v>
      </c>
      <c r="C25" s="35"/>
      <c r="D25" s="35"/>
      <c r="E25" s="35"/>
      <c r="F25" s="35"/>
      <c r="G25" s="35"/>
    </row>
    <row r="26" customFormat="false" ht="15" hidden="false" customHeight="false" outlineLevel="0" collapsed="false">
      <c r="A26" s="29"/>
    </row>
    <row r="27" customFormat="false" ht="15" hidden="false" customHeight="false" outlineLevel="0" collapsed="false">
      <c r="A27" s="30" t="s">
        <v>235</v>
      </c>
      <c r="B27" s="31"/>
      <c r="C27" s="31"/>
      <c r="D27" s="31"/>
      <c r="E27" s="31"/>
      <c r="F27" s="31"/>
      <c r="G27" s="31"/>
      <c r="H27" s="31"/>
    </row>
    <row r="28" customFormat="false" ht="15" hidden="false" customHeight="false" outlineLevel="0" collapsed="false">
      <c r="A28" s="36"/>
      <c r="B28" s="41" t="s">
        <v>236</v>
      </c>
      <c r="C28" s="41" t="s">
        <v>237</v>
      </c>
      <c r="D28" s="41" t="s">
        <v>238</v>
      </c>
      <c r="E28" s="41" t="s">
        <v>239</v>
      </c>
      <c r="F28" s="41" t="s">
        <v>240</v>
      </c>
      <c r="G28" s="41" t="s">
        <v>241</v>
      </c>
      <c r="H28" s="41" t="s">
        <v>242</v>
      </c>
    </row>
    <row r="29" customFormat="false" ht="15" hidden="false" customHeight="false" outlineLevel="0" collapsed="false">
      <c r="A29" s="28" t="s">
        <v>243</v>
      </c>
      <c r="B29" s="35" t="n">
        <v>1471158.2368</v>
      </c>
      <c r="C29" s="35" t="n">
        <v>1461873.12576</v>
      </c>
      <c r="D29" s="35" t="n">
        <v>1948074.91176727</v>
      </c>
      <c r="E29" s="35" t="n">
        <v>2022105.39007127</v>
      </c>
      <c r="F29" s="35" t="n">
        <v>2272643.8201296</v>
      </c>
      <c r="G29" s="35" t="n">
        <v>2370023.79664434</v>
      </c>
      <c r="H29" s="37" t="n">
        <v>11545879.2811725</v>
      </c>
    </row>
    <row r="30" customFormat="false" ht="15" hidden="false" customHeight="false" outlineLevel="0" collapsed="false">
      <c r="A30" s="28" t="s">
        <v>244</v>
      </c>
      <c r="B30" s="35" t="n">
        <v>-485187.302048</v>
      </c>
      <c r="C30" s="35" t="n">
        <v>-534009.9949376</v>
      </c>
      <c r="D30" s="35" t="n">
        <v>-693694.846677673</v>
      </c>
      <c r="E30" s="35" t="n">
        <v>-752721.360460713</v>
      </c>
      <c r="F30" s="35" t="n">
        <v>-860336.261221296</v>
      </c>
      <c r="G30" s="35" t="n">
        <v>-906647.425486443</v>
      </c>
      <c r="H30" s="37" t="n">
        <v>-4232597.19083173</v>
      </c>
    </row>
    <row r="31" customFormat="false" ht="15" hidden="false" customHeight="false" outlineLevel="0" collapsed="false">
      <c r="A31" s="28" t="s">
        <v>245</v>
      </c>
      <c r="B31" s="35" t="n">
        <v>-1424000</v>
      </c>
      <c r="C31" s="35" t="n">
        <v>-10000</v>
      </c>
      <c r="D31" s="35" t="n">
        <v>-461250</v>
      </c>
      <c r="E31" s="35" t="n">
        <v>-10000</v>
      </c>
      <c r="F31" s="35" t="n">
        <v>-146375</v>
      </c>
      <c r="G31" s="35" t="n">
        <v>-10000</v>
      </c>
      <c r="H31" s="37" t="n">
        <v>-2061625</v>
      </c>
    </row>
    <row r="32" customFormat="false" ht="15" hidden="false" customHeight="false" outlineLevel="0" collapsed="false">
      <c r="A32" s="36" t="s">
        <v>246</v>
      </c>
      <c r="B32" s="37" t="n">
        <v>-438029.065248</v>
      </c>
      <c r="C32" s="37" t="n">
        <v>917863.1308224</v>
      </c>
      <c r="D32" s="37" t="n">
        <v>793130.0650896</v>
      </c>
      <c r="E32" s="37" t="n">
        <v>1259384.02961056</v>
      </c>
      <c r="F32" s="37" t="n">
        <v>1265932.5589083</v>
      </c>
      <c r="G32" s="37" t="n">
        <v>1453376.3711579</v>
      </c>
      <c r="H32" s="37" t="n">
        <v>5251657.09034076</v>
      </c>
    </row>
    <row r="33" customFormat="false" ht="15" hidden="false" customHeight="false" outlineLevel="0" collapsed="false">
      <c r="A33" s="28" t="s">
        <v>247</v>
      </c>
      <c r="B33" s="35" t="n">
        <v>2137147.8472551</v>
      </c>
      <c r="C33" s="35" t="n">
        <v>0</v>
      </c>
      <c r="D33" s="35" t="n">
        <v>0</v>
      </c>
      <c r="E33" s="35" t="n">
        <v>0</v>
      </c>
      <c r="F33" s="35" t="n">
        <v>0</v>
      </c>
      <c r="G33" s="35" t="n">
        <v>0</v>
      </c>
      <c r="H33" s="37" t="n">
        <v>2137147.8472551</v>
      </c>
    </row>
    <row r="34" customFormat="false" ht="15" hidden="false" customHeight="false" outlineLevel="0" collapsed="false">
      <c r="A34" s="28" t="s">
        <v>248</v>
      </c>
      <c r="B34" s="35" t="n">
        <v>-542334.930306424</v>
      </c>
      <c r="C34" s="35" t="n">
        <v>-542334.930306424</v>
      </c>
      <c r="D34" s="35" t="n">
        <v>-542334.930306424</v>
      </c>
      <c r="E34" s="35" t="n">
        <v>-542334.930306424</v>
      </c>
      <c r="F34" s="35" t="n">
        <v>-542334.930306424</v>
      </c>
      <c r="G34" s="35" t="n">
        <v>0</v>
      </c>
      <c r="H34" s="37" t="n">
        <v>-2711674.65153212</v>
      </c>
    </row>
    <row r="35" customFormat="false" ht="15" hidden="false" customHeight="false" outlineLevel="0" collapsed="false">
      <c r="A35" s="38" t="s">
        <v>249</v>
      </c>
      <c r="B35" s="39" t="n">
        <v>1156783.85170068</v>
      </c>
      <c r="C35" s="39" t="n">
        <v>1532312.05221665</v>
      </c>
      <c r="D35" s="39" t="n">
        <v>1783107.18699983</v>
      </c>
      <c r="E35" s="39" t="n">
        <v>2500156.28630397</v>
      </c>
      <c r="F35" s="39" t="n">
        <v>3223753.91490584</v>
      </c>
      <c r="G35" s="39" t="n">
        <v>4677130.28606374</v>
      </c>
    </row>
    <row r="36" customFormat="false" ht="15" hidden="false" customHeight="false" outlineLevel="0" collapsed="false">
      <c r="A36" s="29"/>
    </row>
    <row r="37" customFormat="false" ht="15" hidden="false" customHeight="false" outlineLevel="0" collapsed="false">
      <c r="A37" s="30" t="s">
        <v>250</v>
      </c>
      <c r="B37" s="31"/>
      <c r="C37" s="31"/>
      <c r="D37" s="31"/>
      <c r="E37" s="31"/>
      <c r="F37" s="31"/>
      <c r="G37" s="31"/>
      <c r="H37" s="31"/>
    </row>
    <row r="38" customFormat="false" ht="15" hidden="false" customHeight="false" outlineLevel="0" collapsed="false">
      <c r="A38" s="36"/>
      <c r="B38" s="41" t="s">
        <v>236</v>
      </c>
      <c r="C38" s="41" t="s">
        <v>237</v>
      </c>
      <c r="D38" s="41" t="s">
        <v>238</v>
      </c>
      <c r="E38" s="41" t="s">
        <v>239</v>
      </c>
      <c r="F38" s="41" t="s">
        <v>240</v>
      </c>
      <c r="G38" s="41" t="s">
        <v>241</v>
      </c>
      <c r="H38" s="41" t="s">
        <v>242</v>
      </c>
    </row>
    <row r="39" customFormat="false" ht="15" hidden="false" customHeight="false" outlineLevel="0" collapsed="false">
      <c r="A39" s="28" t="s">
        <v>251</v>
      </c>
      <c r="B39" s="35" t="n">
        <v>1387208.2368</v>
      </c>
      <c r="C39" s="35" t="n">
        <v>1160988.96576</v>
      </c>
      <c r="D39" s="35" t="n">
        <v>1421790.75176727</v>
      </c>
      <c r="E39" s="35" t="n">
        <v>1166187.07007127</v>
      </c>
      <c r="F39" s="35" t="n">
        <v>1115425.5001296</v>
      </c>
      <c r="G39" s="35" t="n">
        <v>918821.31664434</v>
      </c>
      <c r="H39" s="37" t="n">
        <v>7170421.84117248</v>
      </c>
    </row>
    <row r="40" customFormat="false" ht="15" hidden="false" customHeight="false" outlineLevel="0" collapsed="false">
      <c r="A40" s="28" t="s">
        <v>223</v>
      </c>
      <c r="B40" s="35" t="n">
        <v>55200</v>
      </c>
      <c r="C40" s="35" t="n">
        <v>165600</v>
      </c>
      <c r="D40" s="35" t="n">
        <v>331200</v>
      </c>
      <c r="E40" s="35" t="n">
        <v>552000</v>
      </c>
      <c r="F40" s="35" t="n">
        <v>772800</v>
      </c>
      <c r="G40" s="35" t="n">
        <v>966000</v>
      </c>
      <c r="H40" s="37" t="n">
        <v>2842800</v>
      </c>
    </row>
    <row r="41" customFormat="false" ht="15" hidden="false" customHeight="false" outlineLevel="0" collapsed="false">
      <c r="A41" s="28" t="s">
        <v>252</v>
      </c>
      <c r="B41" s="35" t="n">
        <v>0</v>
      </c>
      <c r="C41" s="35" t="n">
        <v>38684.16</v>
      </c>
      <c r="D41" s="35" t="n">
        <v>38684.16</v>
      </c>
      <c r="E41" s="35" t="n">
        <v>77368.32</v>
      </c>
      <c r="F41" s="35" t="n">
        <v>77368.32</v>
      </c>
      <c r="G41" s="35" t="n">
        <v>116052.48</v>
      </c>
      <c r="H41" s="37" t="n">
        <v>348157.44</v>
      </c>
    </row>
    <row r="42" customFormat="false" ht="15" hidden="false" customHeight="false" outlineLevel="0" collapsed="false">
      <c r="A42" s="28" t="s">
        <v>253</v>
      </c>
      <c r="B42" s="35" t="n">
        <v>28750</v>
      </c>
      <c r="C42" s="35" t="n">
        <v>96600</v>
      </c>
      <c r="D42" s="35" t="n">
        <v>156400</v>
      </c>
      <c r="E42" s="35" t="n">
        <v>226550</v>
      </c>
      <c r="F42" s="35" t="n">
        <v>307050</v>
      </c>
      <c r="G42" s="35" t="n">
        <v>369150</v>
      </c>
      <c r="H42" s="37" t="n">
        <v>1184500</v>
      </c>
    </row>
    <row r="43" customFormat="false" ht="15" hidden="false" customHeight="false" outlineLevel="0" collapsed="false">
      <c r="A43" s="38" t="s">
        <v>254</v>
      </c>
      <c r="B43" s="39" t="n">
        <v>1471158.2368</v>
      </c>
      <c r="C43" s="39" t="n">
        <v>1461873.12576</v>
      </c>
      <c r="D43" s="39" t="n">
        <v>1948074.91176727</v>
      </c>
      <c r="E43" s="39" t="n">
        <v>2022105.39007127</v>
      </c>
      <c r="F43" s="39" t="n">
        <v>2272643.8201296</v>
      </c>
      <c r="G43" s="39" t="n">
        <v>2370023.79664434</v>
      </c>
      <c r="H43" s="37" t="n">
        <v>11545879.2811725</v>
      </c>
    </row>
    <row r="44" customFormat="false" ht="15" hidden="false" customHeight="false" outlineLevel="0" collapsed="false">
      <c r="A44" s="29"/>
    </row>
    <row r="45" customFormat="false" ht="15" hidden="false" customHeight="false" outlineLevel="0" collapsed="false">
      <c r="A45" s="30" t="s">
        <v>255</v>
      </c>
      <c r="B45" s="31"/>
      <c r="C45" s="31"/>
      <c r="D45" s="31"/>
      <c r="E45" s="31"/>
      <c r="F45" s="31"/>
      <c r="G45" s="31"/>
      <c r="H45" s="31"/>
    </row>
    <row r="46" customFormat="false" ht="15" hidden="false" customHeight="false" outlineLevel="0" collapsed="false">
      <c r="A46" s="28" t="s">
        <v>264</v>
      </c>
    </row>
    <row r="47" customFormat="false" ht="15" hidden="false" customHeight="false" outlineLevel="0" collapsed="false">
      <c r="A47" s="28" t="s">
        <v>265</v>
      </c>
    </row>
    <row r="48" customFormat="false" ht="15" hidden="false" customHeight="false" outlineLevel="0" collapsed="false">
      <c r="A48" s="28" t="s">
        <v>266</v>
      </c>
    </row>
    <row r="49" customFormat="false" ht="15" hidden="false" customHeight="false" outlineLevel="0" collapsed="false">
      <c r="A49" s="28" t="s">
        <v>267</v>
      </c>
    </row>
    <row r="50" customFormat="false" ht="15" hidden="false" customHeight="false" outlineLevel="0" collapsed="false">
      <c r="A50" s="29"/>
    </row>
  </sheetData>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4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0" topLeftCell="B1" activePane="topRight" state="frozen"/>
      <selection pane="topLeft" activeCell="A1" activeCellId="0" sqref="A1"/>
      <selection pane="topRight" activeCell="A1" activeCellId="0" sqref="A1"/>
    </sheetView>
  </sheetViews>
  <sheetFormatPr defaultColWidth="8.6796875" defaultRowHeight="15" customHeight="false" zeroHeight="false" outlineLevelRow="0" outlineLevelCol="0"/>
  <cols>
    <col collapsed="false" customWidth="true" hidden="false" outlineLevel="0" max="1" min="1" style="0" width="48"/>
    <col collapsed="false" customWidth="true" hidden="false" outlineLevel="0" max="8" min="2" style="0" width="13"/>
  </cols>
  <sheetData>
    <row r="1" customFormat="false" ht="17.35" hidden="false" customHeight="false" outlineLevel="0" collapsed="false">
      <c r="A1" s="27" t="s">
        <v>268</v>
      </c>
    </row>
    <row r="2" customFormat="false" ht="15" hidden="false" customHeight="false" outlineLevel="0" collapsed="false">
      <c r="A2" s="28" t="s">
        <v>269</v>
      </c>
    </row>
    <row r="3" customFormat="false" ht="15" hidden="false" customHeight="false" outlineLevel="0" collapsed="false">
      <c r="A3" s="28" t="s">
        <v>270</v>
      </c>
    </row>
    <row r="4" customFormat="false" ht="15" hidden="false" customHeight="false" outlineLevel="0" collapsed="false">
      <c r="A4" s="29"/>
    </row>
    <row r="5" customFormat="false" ht="15" hidden="false" customHeight="false" outlineLevel="0" collapsed="false">
      <c r="A5" s="30" t="s">
        <v>219</v>
      </c>
      <c r="B5" s="31"/>
      <c r="C5" s="31"/>
      <c r="D5" s="31"/>
      <c r="E5" s="31"/>
      <c r="F5" s="31"/>
      <c r="G5" s="31"/>
      <c r="H5" s="31"/>
    </row>
    <row r="6" customFormat="false" ht="15" hidden="false" customHeight="false" outlineLevel="0" collapsed="false">
      <c r="A6" s="28" t="s">
        <v>220</v>
      </c>
      <c r="B6" s="32" t="n">
        <v>64</v>
      </c>
      <c r="C6" s="32" t="n">
        <v>64</v>
      </c>
      <c r="D6" s="32" t="n">
        <v>88</v>
      </c>
      <c r="E6" s="32" t="n">
        <v>88</v>
      </c>
      <c r="F6" s="32" t="n">
        <v>96</v>
      </c>
      <c r="G6" s="32" t="n">
        <v>96</v>
      </c>
    </row>
    <row r="7" customFormat="false" ht="15" hidden="false" customHeight="false" outlineLevel="0" collapsed="false">
      <c r="A7" s="28" t="s">
        <v>221</v>
      </c>
      <c r="B7" s="32" t="n">
        <v>8</v>
      </c>
      <c r="C7" s="32" t="n">
        <v>8</v>
      </c>
      <c r="D7" s="32" t="n">
        <v>11</v>
      </c>
      <c r="E7" s="32" t="n">
        <v>11</v>
      </c>
      <c r="F7" s="32" t="n">
        <v>12</v>
      </c>
      <c r="G7" s="32" t="n">
        <v>12</v>
      </c>
    </row>
    <row r="8" customFormat="false" ht="15" hidden="false" customHeight="false" outlineLevel="0" collapsed="false">
      <c r="A8" s="28" t="s">
        <v>222</v>
      </c>
      <c r="B8" s="33" t="n">
        <v>73.6</v>
      </c>
      <c r="C8" s="33" t="n">
        <v>73.6</v>
      </c>
      <c r="D8" s="33" t="n">
        <v>101.2</v>
      </c>
      <c r="E8" s="33" t="n">
        <v>101.2</v>
      </c>
      <c r="F8" s="33" t="n">
        <v>110.4</v>
      </c>
      <c r="G8" s="33" t="n">
        <v>110.4</v>
      </c>
    </row>
    <row r="9" customFormat="false" ht="15" hidden="false" customHeight="false" outlineLevel="0" collapsed="false">
      <c r="A9" s="28" t="s">
        <v>223</v>
      </c>
      <c r="B9" s="34" t="n">
        <v>200</v>
      </c>
      <c r="C9" s="34" t="n">
        <v>600</v>
      </c>
      <c r="D9" s="34" t="n">
        <v>1200</v>
      </c>
      <c r="E9" s="34" t="n">
        <v>2000</v>
      </c>
      <c r="F9" s="34" t="n">
        <v>2800</v>
      </c>
      <c r="G9" s="34" t="n">
        <v>3500</v>
      </c>
    </row>
    <row r="10" customFormat="false" ht="15" hidden="false" customHeight="false" outlineLevel="0" collapsed="false">
      <c r="A10" s="28" t="s">
        <v>224</v>
      </c>
      <c r="B10" s="32" t="n">
        <v>2</v>
      </c>
      <c r="C10" s="32" t="n">
        <v>2</v>
      </c>
      <c r="D10" s="32" t="n">
        <v>4</v>
      </c>
      <c r="E10" s="32" t="n">
        <v>6</v>
      </c>
      <c r="F10" s="32" t="n">
        <v>8</v>
      </c>
      <c r="G10" s="32" t="n">
        <v>10</v>
      </c>
    </row>
    <row r="11" customFormat="false" ht="15" hidden="false" customHeight="false" outlineLevel="0" collapsed="false">
      <c r="A11" s="29"/>
    </row>
    <row r="12" customFormat="false" ht="15" hidden="false" customHeight="false" outlineLevel="0" collapsed="false">
      <c r="A12" s="30" t="s">
        <v>225</v>
      </c>
      <c r="B12" s="31"/>
      <c r="C12" s="31"/>
      <c r="D12" s="31"/>
      <c r="E12" s="31"/>
      <c r="F12" s="31"/>
      <c r="G12" s="31"/>
      <c r="H12" s="31"/>
    </row>
    <row r="13" customFormat="false" ht="15" hidden="false" customHeight="false" outlineLevel="0" collapsed="false">
      <c r="A13" s="28" t="s">
        <v>226</v>
      </c>
      <c r="B13" s="35" t="n">
        <v>1424000</v>
      </c>
      <c r="C13" s="35"/>
      <c r="D13" s="35"/>
      <c r="E13" s="35"/>
      <c r="F13" s="35"/>
      <c r="G13" s="35"/>
    </row>
    <row r="14" customFormat="false" ht="15" hidden="false" customHeight="false" outlineLevel="0" collapsed="false">
      <c r="A14" s="28" t="s">
        <v>227</v>
      </c>
      <c r="B14" s="35" t="n">
        <v>838936.618169529</v>
      </c>
      <c r="C14" s="35"/>
      <c r="D14" s="35"/>
      <c r="E14" s="35"/>
      <c r="F14" s="35"/>
      <c r="G14" s="35"/>
    </row>
    <row r="15" customFormat="false" ht="15" hidden="false" customHeight="false" outlineLevel="0" collapsed="false">
      <c r="A15" s="36" t="s">
        <v>202</v>
      </c>
      <c r="B15" s="37" t="n">
        <v>2262936.61816953</v>
      </c>
      <c r="C15" s="37"/>
      <c r="D15" s="37"/>
      <c r="E15" s="37"/>
      <c r="F15" s="37"/>
      <c r="G15" s="37"/>
    </row>
    <row r="16" customFormat="false" ht="15" hidden="false" customHeight="false" outlineLevel="0" collapsed="false">
      <c r="A16" s="28" t="s">
        <v>263</v>
      </c>
      <c r="B16" s="35" t="n">
        <v>2048264.0144041</v>
      </c>
      <c r="C16" s="35"/>
      <c r="D16" s="35"/>
      <c r="E16" s="35"/>
      <c r="F16" s="35"/>
      <c r="G16" s="35"/>
    </row>
    <row r="17" customFormat="false" ht="15" hidden="false" customHeight="false" outlineLevel="0" collapsed="false">
      <c r="A17" s="38" t="s">
        <v>229</v>
      </c>
      <c r="B17" s="39" t="n">
        <v>4311200.63257363</v>
      </c>
      <c r="C17" s="39"/>
      <c r="D17" s="39"/>
      <c r="E17" s="39"/>
      <c r="F17" s="39"/>
      <c r="G17" s="39"/>
    </row>
    <row r="18" customFormat="false" ht="15" hidden="false" customHeight="false" outlineLevel="0" collapsed="false">
      <c r="A18" s="28" t="s">
        <v>230</v>
      </c>
      <c r="B18" s="35" t="n">
        <v>-574255.81233376</v>
      </c>
      <c r="C18" s="35" t="n">
        <v>-574255.81233376</v>
      </c>
      <c r="D18" s="35" t="n">
        <v>-574255.81233376</v>
      </c>
      <c r="E18" s="35" t="n">
        <v>-574255.81233376</v>
      </c>
      <c r="F18" s="35" t="n">
        <v>-574255.81233376</v>
      </c>
      <c r="G18" s="35" t="n">
        <v>0</v>
      </c>
    </row>
    <row r="19" customFormat="false" ht="15" hidden="false" customHeight="false" outlineLevel="0" collapsed="false">
      <c r="A19" s="29"/>
    </row>
    <row r="20" customFormat="false" ht="15" hidden="false" customHeight="false" outlineLevel="0" collapsed="false">
      <c r="A20" s="30" t="s">
        <v>231</v>
      </c>
      <c r="B20" s="31"/>
      <c r="C20" s="31"/>
      <c r="D20" s="31"/>
      <c r="E20" s="31"/>
      <c r="F20" s="31"/>
      <c r="G20" s="31"/>
      <c r="H20" s="31"/>
    </row>
    <row r="21" customFormat="false" ht="15" hidden="false" customHeight="false" outlineLevel="0" collapsed="false">
      <c r="A21" s="36" t="s">
        <v>232</v>
      </c>
      <c r="B21" s="37" t="n">
        <v>11545879.2811725</v>
      </c>
      <c r="C21" s="37"/>
      <c r="D21" s="37"/>
      <c r="E21" s="37"/>
      <c r="F21" s="37"/>
      <c r="G21" s="37"/>
    </row>
    <row r="22" customFormat="false" ht="15" hidden="false" customHeight="false" outlineLevel="0" collapsed="false">
      <c r="A22" s="36" t="s">
        <v>206</v>
      </c>
      <c r="B22" s="40" t="n">
        <v>1.73430184570415</v>
      </c>
      <c r="C22" s="40"/>
      <c r="D22" s="40"/>
      <c r="E22" s="40"/>
      <c r="F22" s="40"/>
      <c r="G22" s="40"/>
    </row>
    <row r="23" customFormat="false" ht="15" hidden="false" customHeight="false" outlineLevel="0" collapsed="false">
      <c r="A23" s="28" t="s">
        <v>233</v>
      </c>
      <c r="B23" s="35" t="n">
        <v>2877329.21092296</v>
      </c>
      <c r="C23" s="35"/>
      <c r="D23" s="35"/>
      <c r="E23" s="35"/>
      <c r="F23" s="35"/>
      <c r="G23" s="35"/>
    </row>
    <row r="24" customFormat="false" ht="15" hidden="false" customHeight="false" outlineLevel="0" collapsed="false">
      <c r="A24" s="28" t="s">
        <v>234</v>
      </c>
      <c r="B24" s="35" t="n">
        <v>3342281.84684149</v>
      </c>
      <c r="C24" s="35"/>
      <c r="D24" s="35"/>
      <c r="E24" s="35"/>
      <c r="F24" s="35"/>
      <c r="G24" s="35"/>
    </row>
    <row r="25" customFormat="false" ht="15" hidden="false" customHeight="false" outlineLevel="0" collapsed="false">
      <c r="A25" s="28" t="s">
        <v>207</v>
      </c>
      <c r="B25" s="35" t="n">
        <v>1036144.54058777</v>
      </c>
      <c r="C25" s="35"/>
      <c r="D25" s="35"/>
      <c r="E25" s="35"/>
      <c r="F25" s="35"/>
      <c r="G25" s="35"/>
    </row>
    <row r="26" customFormat="false" ht="15" hidden="false" customHeight="false" outlineLevel="0" collapsed="false">
      <c r="A26" s="29"/>
    </row>
    <row r="27" customFormat="false" ht="15" hidden="false" customHeight="false" outlineLevel="0" collapsed="false">
      <c r="A27" s="30" t="s">
        <v>235</v>
      </c>
      <c r="B27" s="31"/>
      <c r="C27" s="31"/>
      <c r="D27" s="31"/>
      <c r="E27" s="31"/>
      <c r="F27" s="31"/>
      <c r="G27" s="31"/>
      <c r="H27" s="31"/>
    </row>
    <row r="28" customFormat="false" ht="15" hidden="false" customHeight="false" outlineLevel="0" collapsed="false">
      <c r="A28" s="36"/>
      <c r="B28" s="41" t="s">
        <v>236</v>
      </c>
      <c r="C28" s="41" t="s">
        <v>237</v>
      </c>
      <c r="D28" s="41" t="s">
        <v>238</v>
      </c>
      <c r="E28" s="41" t="s">
        <v>239</v>
      </c>
      <c r="F28" s="41" t="s">
        <v>240</v>
      </c>
      <c r="G28" s="41" t="s">
        <v>241</v>
      </c>
      <c r="H28" s="41" t="s">
        <v>242</v>
      </c>
    </row>
    <row r="29" customFormat="false" ht="15" hidden="false" customHeight="false" outlineLevel="0" collapsed="false">
      <c r="A29" s="28" t="s">
        <v>243</v>
      </c>
      <c r="B29" s="35" t="n">
        <v>1471158.2368</v>
      </c>
      <c r="C29" s="35" t="n">
        <v>1461873.12576</v>
      </c>
      <c r="D29" s="35" t="n">
        <v>1948074.91176727</v>
      </c>
      <c r="E29" s="35" t="n">
        <v>2022105.39007127</v>
      </c>
      <c r="F29" s="35" t="n">
        <v>2272643.8201296</v>
      </c>
      <c r="G29" s="35" t="n">
        <v>2370023.79664434</v>
      </c>
      <c r="H29" s="37" t="n">
        <v>11545879.2811725</v>
      </c>
    </row>
    <row r="30" customFormat="false" ht="15" hidden="false" customHeight="false" outlineLevel="0" collapsed="false">
      <c r="A30" s="28" t="s">
        <v>244</v>
      </c>
      <c r="B30" s="35" t="n">
        <v>-699694.502048</v>
      </c>
      <c r="C30" s="35" t="n">
        <v>-750071.5949376</v>
      </c>
      <c r="D30" s="35" t="n">
        <v>-909756.446677673</v>
      </c>
      <c r="E30" s="35" t="n">
        <v>-970337.360460713</v>
      </c>
      <c r="F30" s="35" t="n">
        <v>-1077952.2612213</v>
      </c>
      <c r="G30" s="35" t="n">
        <v>-1125817.82548644</v>
      </c>
      <c r="H30" s="37" t="n">
        <v>-5533629.99083173</v>
      </c>
    </row>
    <row r="31" customFormat="false" ht="15" hidden="false" customHeight="false" outlineLevel="0" collapsed="false">
      <c r="A31" s="28" t="s">
        <v>245</v>
      </c>
      <c r="B31" s="35" t="n">
        <v>-1424000</v>
      </c>
      <c r="C31" s="35" t="n">
        <v>-10000</v>
      </c>
      <c r="D31" s="35" t="n">
        <v>-461250</v>
      </c>
      <c r="E31" s="35" t="n">
        <v>-10000</v>
      </c>
      <c r="F31" s="35" t="n">
        <v>-146375</v>
      </c>
      <c r="G31" s="35" t="n">
        <v>-10000</v>
      </c>
      <c r="H31" s="37" t="n">
        <v>-2061625</v>
      </c>
    </row>
    <row r="32" customFormat="false" ht="15" hidden="false" customHeight="false" outlineLevel="0" collapsed="false">
      <c r="A32" s="36" t="s">
        <v>246</v>
      </c>
      <c r="B32" s="37" t="n">
        <v>-652536.265248</v>
      </c>
      <c r="C32" s="37" t="n">
        <v>701801.5308224</v>
      </c>
      <c r="D32" s="37" t="n">
        <v>577068.4650896</v>
      </c>
      <c r="E32" s="37" t="n">
        <v>1041768.02961056</v>
      </c>
      <c r="F32" s="37" t="n">
        <v>1048316.5589083</v>
      </c>
      <c r="G32" s="37" t="n">
        <v>1234205.9711579</v>
      </c>
      <c r="H32" s="37" t="n">
        <v>3950624.29034076</v>
      </c>
    </row>
    <row r="33" customFormat="false" ht="15" hidden="false" customHeight="false" outlineLevel="0" collapsed="false">
      <c r="A33" s="28" t="s">
        <v>247</v>
      </c>
      <c r="B33" s="35" t="n">
        <v>2262936.61816953</v>
      </c>
      <c r="C33" s="35" t="n">
        <v>0</v>
      </c>
      <c r="D33" s="35" t="n">
        <v>0</v>
      </c>
      <c r="E33" s="35" t="n">
        <v>0</v>
      </c>
      <c r="F33" s="35" t="n">
        <v>0</v>
      </c>
      <c r="G33" s="35" t="n">
        <v>0</v>
      </c>
      <c r="H33" s="37" t="n">
        <v>2262936.61816953</v>
      </c>
    </row>
    <row r="34" customFormat="false" ht="15" hidden="false" customHeight="false" outlineLevel="0" collapsed="false">
      <c r="A34" s="28" t="s">
        <v>248</v>
      </c>
      <c r="B34" s="35" t="n">
        <v>-574255.81233376</v>
      </c>
      <c r="C34" s="35" t="n">
        <v>-574255.81233376</v>
      </c>
      <c r="D34" s="35" t="n">
        <v>-574255.81233376</v>
      </c>
      <c r="E34" s="35" t="n">
        <v>-574255.81233376</v>
      </c>
      <c r="F34" s="35" t="n">
        <v>-574255.81233376</v>
      </c>
      <c r="G34" s="35" t="n">
        <v>0</v>
      </c>
      <c r="H34" s="37" t="n">
        <v>-2871279.0616688</v>
      </c>
    </row>
    <row r="35" customFormat="false" ht="15" hidden="false" customHeight="false" outlineLevel="0" collapsed="false">
      <c r="A35" s="38" t="s">
        <v>249</v>
      </c>
      <c r="B35" s="39" t="n">
        <v>1036144.54058777</v>
      </c>
      <c r="C35" s="39" t="n">
        <v>1163690.25907641</v>
      </c>
      <c r="D35" s="39" t="n">
        <v>1166502.91183225</v>
      </c>
      <c r="E35" s="39" t="n">
        <v>1634015.12910905</v>
      </c>
      <c r="F35" s="39" t="n">
        <v>2108075.87568359</v>
      </c>
      <c r="G35" s="39" t="n">
        <v>3342281.84684149</v>
      </c>
    </row>
    <row r="36" customFormat="false" ht="15" hidden="false" customHeight="false" outlineLevel="0" collapsed="false">
      <c r="A36" s="29"/>
    </row>
    <row r="37" customFormat="false" ht="15" hidden="false" customHeight="false" outlineLevel="0" collapsed="false">
      <c r="A37" s="30" t="s">
        <v>250</v>
      </c>
      <c r="B37" s="31"/>
      <c r="C37" s="31"/>
      <c r="D37" s="31"/>
      <c r="E37" s="31"/>
      <c r="F37" s="31"/>
      <c r="G37" s="31"/>
      <c r="H37" s="31"/>
    </row>
    <row r="38" customFormat="false" ht="15" hidden="false" customHeight="false" outlineLevel="0" collapsed="false">
      <c r="A38" s="36"/>
      <c r="B38" s="41" t="s">
        <v>236</v>
      </c>
      <c r="C38" s="41" t="s">
        <v>237</v>
      </c>
      <c r="D38" s="41" t="s">
        <v>238</v>
      </c>
      <c r="E38" s="41" t="s">
        <v>239</v>
      </c>
      <c r="F38" s="41" t="s">
        <v>240</v>
      </c>
      <c r="G38" s="41" t="s">
        <v>241</v>
      </c>
      <c r="H38" s="41" t="s">
        <v>242</v>
      </c>
    </row>
    <row r="39" customFormat="false" ht="15" hidden="false" customHeight="false" outlineLevel="0" collapsed="false">
      <c r="A39" s="28" t="s">
        <v>251</v>
      </c>
      <c r="B39" s="35" t="n">
        <v>1387208.2368</v>
      </c>
      <c r="C39" s="35" t="n">
        <v>1160988.96576</v>
      </c>
      <c r="D39" s="35" t="n">
        <v>1421790.75176727</v>
      </c>
      <c r="E39" s="35" t="n">
        <v>1166187.07007127</v>
      </c>
      <c r="F39" s="35" t="n">
        <v>1115425.5001296</v>
      </c>
      <c r="G39" s="35" t="n">
        <v>918821.31664434</v>
      </c>
      <c r="H39" s="37" t="n">
        <v>7170421.84117248</v>
      </c>
    </row>
    <row r="40" customFormat="false" ht="15" hidden="false" customHeight="false" outlineLevel="0" collapsed="false">
      <c r="A40" s="28" t="s">
        <v>223</v>
      </c>
      <c r="B40" s="35" t="n">
        <v>55200</v>
      </c>
      <c r="C40" s="35" t="n">
        <v>165600</v>
      </c>
      <c r="D40" s="35" t="n">
        <v>331200</v>
      </c>
      <c r="E40" s="35" t="n">
        <v>552000</v>
      </c>
      <c r="F40" s="35" t="n">
        <v>772800</v>
      </c>
      <c r="G40" s="35" t="n">
        <v>966000</v>
      </c>
      <c r="H40" s="37" t="n">
        <v>2842800</v>
      </c>
    </row>
    <row r="41" customFormat="false" ht="15" hidden="false" customHeight="false" outlineLevel="0" collapsed="false">
      <c r="A41" s="28" t="s">
        <v>252</v>
      </c>
      <c r="B41" s="35" t="n">
        <v>0</v>
      </c>
      <c r="C41" s="35" t="n">
        <v>38684.16</v>
      </c>
      <c r="D41" s="35" t="n">
        <v>38684.16</v>
      </c>
      <c r="E41" s="35" t="n">
        <v>77368.32</v>
      </c>
      <c r="F41" s="35" t="n">
        <v>77368.32</v>
      </c>
      <c r="G41" s="35" t="n">
        <v>116052.48</v>
      </c>
      <c r="H41" s="37" t="n">
        <v>348157.44</v>
      </c>
    </row>
    <row r="42" customFormat="false" ht="15" hidden="false" customHeight="false" outlineLevel="0" collapsed="false">
      <c r="A42" s="28" t="s">
        <v>253</v>
      </c>
      <c r="B42" s="35" t="n">
        <v>28750</v>
      </c>
      <c r="C42" s="35" t="n">
        <v>96600</v>
      </c>
      <c r="D42" s="35" t="n">
        <v>156400</v>
      </c>
      <c r="E42" s="35" t="n">
        <v>226550</v>
      </c>
      <c r="F42" s="35" t="n">
        <v>307050</v>
      </c>
      <c r="G42" s="35" t="n">
        <v>369150</v>
      </c>
      <c r="H42" s="37" t="n">
        <v>1184500</v>
      </c>
    </row>
    <row r="43" customFormat="false" ht="15" hidden="false" customHeight="false" outlineLevel="0" collapsed="false">
      <c r="A43" s="38" t="s">
        <v>254</v>
      </c>
      <c r="B43" s="39" t="n">
        <v>1471158.2368</v>
      </c>
      <c r="C43" s="39" t="n">
        <v>1461873.12576</v>
      </c>
      <c r="D43" s="39" t="n">
        <v>1948074.91176727</v>
      </c>
      <c r="E43" s="39" t="n">
        <v>2022105.39007127</v>
      </c>
      <c r="F43" s="39" t="n">
        <v>2272643.8201296</v>
      </c>
      <c r="G43" s="39" t="n">
        <v>2370023.79664434</v>
      </c>
      <c r="H43" s="37" t="n">
        <v>11545879.2811725</v>
      </c>
    </row>
    <row r="44" customFormat="false" ht="15" hidden="false" customHeight="false" outlineLevel="0" collapsed="false">
      <c r="A44" s="29"/>
    </row>
    <row r="45" customFormat="false" ht="15" hidden="false" customHeight="false" outlineLevel="0" collapsed="false">
      <c r="A45" s="30" t="s">
        <v>255</v>
      </c>
      <c r="B45" s="31"/>
      <c r="C45" s="31"/>
      <c r="D45" s="31"/>
      <c r="E45" s="31"/>
      <c r="F45" s="31"/>
      <c r="G45" s="31"/>
      <c r="H45" s="31"/>
    </row>
    <row r="46" customFormat="false" ht="15" hidden="false" customHeight="false" outlineLevel="0" collapsed="false">
      <c r="A46" s="28" t="s">
        <v>271</v>
      </c>
    </row>
    <row r="47" customFormat="false" ht="15" hidden="false" customHeight="false" outlineLevel="0" collapsed="false">
      <c r="A47" s="28" t="s">
        <v>272</v>
      </c>
    </row>
    <row r="48" customFormat="false" ht="15" hidden="false" customHeight="false" outlineLevel="0" collapsed="false">
      <c r="A48" s="28" t="s">
        <v>273</v>
      </c>
    </row>
    <row r="49" customFormat="false" ht="15" hidden="false" customHeight="false" outlineLevel="0" collapsed="false">
      <c r="A49" s="29"/>
    </row>
  </sheetData>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6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0"/>
    <col collapsed="false" customWidth="true" hidden="false" outlineLevel="0" max="2" min="2" style="1" width="34"/>
    <col collapsed="false" customWidth="true" hidden="false" outlineLevel="0" max="3" min="3" style="1" width="66"/>
    <col collapsed="false" customWidth="true" hidden="false" outlineLevel="0" max="4" min="4" style="1" width="44"/>
  </cols>
  <sheetData>
    <row r="1" customFormat="false" ht="15.75" hidden="false" customHeight="true" outlineLevel="0" collapsed="false">
      <c r="A1" s="2" t="s">
        <v>274</v>
      </c>
    </row>
    <row r="2" customFormat="false" ht="15" hidden="false" customHeight="true" outlineLevel="0" collapsed="false">
      <c r="A2" s="7" t="s">
        <v>275</v>
      </c>
    </row>
    <row r="4" customFormat="false" ht="15" hidden="false" customHeight="true" outlineLevel="0" collapsed="false">
      <c r="A4" s="8" t="s">
        <v>276</v>
      </c>
      <c r="B4" s="8" t="s">
        <v>277</v>
      </c>
      <c r="C4" s="8" t="s">
        <v>278</v>
      </c>
      <c r="D4" s="8" t="s">
        <v>279</v>
      </c>
    </row>
    <row r="5" customFormat="false" ht="23.25" hidden="false" customHeight="true" outlineLevel="0" collapsed="false">
      <c r="A5" s="42" t="s">
        <v>280</v>
      </c>
      <c r="B5" s="9" t="s">
        <v>281</v>
      </c>
      <c r="C5" s="9" t="s">
        <v>282</v>
      </c>
      <c r="D5" s="9" t="s">
        <v>283</v>
      </c>
    </row>
    <row r="6" customFormat="false" ht="15" hidden="false" customHeight="true" outlineLevel="0" collapsed="false">
      <c r="A6" s="42" t="s">
        <v>284</v>
      </c>
      <c r="B6" s="9" t="s">
        <v>285</v>
      </c>
      <c r="C6" s="9" t="s">
        <v>286</v>
      </c>
      <c r="D6" s="9" t="s">
        <v>287</v>
      </c>
    </row>
    <row r="7" customFormat="false" ht="34.5" hidden="false" customHeight="true" outlineLevel="0" collapsed="false">
      <c r="A7" s="42" t="s">
        <v>288</v>
      </c>
      <c r="B7" s="9" t="s">
        <v>289</v>
      </c>
      <c r="C7" s="9" t="s">
        <v>290</v>
      </c>
      <c r="D7" s="9" t="s">
        <v>291</v>
      </c>
    </row>
    <row r="8" customFormat="false" ht="23.25" hidden="false" customHeight="true" outlineLevel="0" collapsed="false">
      <c r="A8" s="42" t="s">
        <v>292</v>
      </c>
      <c r="B8" s="9" t="s">
        <v>293</v>
      </c>
      <c r="C8" s="9" t="s">
        <v>294</v>
      </c>
      <c r="D8" s="9" t="s">
        <v>295</v>
      </c>
    </row>
    <row r="9" customFormat="false" ht="23.25" hidden="false" customHeight="true" outlineLevel="0" collapsed="false">
      <c r="A9" s="42" t="s">
        <v>296</v>
      </c>
      <c r="B9" s="9" t="s">
        <v>297</v>
      </c>
      <c r="C9" s="9" t="s">
        <v>298</v>
      </c>
      <c r="D9" s="9" t="s">
        <v>299</v>
      </c>
    </row>
    <row r="10" customFormat="false" ht="23.25" hidden="false" customHeight="true" outlineLevel="0" collapsed="false">
      <c r="A10" s="42" t="s">
        <v>300</v>
      </c>
      <c r="B10" s="9" t="s">
        <v>301</v>
      </c>
      <c r="C10" s="9" t="s">
        <v>302</v>
      </c>
      <c r="D10" s="9" t="s">
        <v>303</v>
      </c>
    </row>
    <row r="11" customFormat="false" ht="23.25" hidden="false" customHeight="true" outlineLevel="0" collapsed="false">
      <c r="A11" s="42" t="s">
        <v>304</v>
      </c>
      <c r="B11" s="9" t="s">
        <v>305</v>
      </c>
      <c r="C11" s="9" t="s">
        <v>306</v>
      </c>
      <c r="D11" s="9" t="s">
        <v>307</v>
      </c>
    </row>
    <row r="12" customFormat="false" ht="23.25" hidden="false" customHeight="true" outlineLevel="0" collapsed="false">
      <c r="A12" s="42" t="s">
        <v>308</v>
      </c>
      <c r="B12" s="9" t="s">
        <v>309</v>
      </c>
      <c r="C12" s="9" t="s">
        <v>310</v>
      </c>
      <c r="D12" s="9" t="s">
        <v>311</v>
      </c>
    </row>
    <row r="13" customFormat="false" ht="15" hidden="false" customHeight="true" outlineLevel="0" collapsed="false">
      <c r="A13" s="42" t="s">
        <v>312</v>
      </c>
      <c r="B13" s="9" t="s">
        <v>305</v>
      </c>
      <c r="C13" s="9" t="s">
        <v>313</v>
      </c>
      <c r="D13" s="9" t="s">
        <v>314</v>
      </c>
    </row>
    <row r="14" customFormat="false" ht="34.5" hidden="false" customHeight="true" outlineLevel="0" collapsed="false">
      <c r="A14" s="42" t="s">
        <v>315</v>
      </c>
      <c r="B14" s="9" t="s">
        <v>316</v>
      </c>
      <c r="C14" s="9" t="s">
        <v>317</v>
      </c>
      <c r="D14" s="9" t="s">
        <v>318</v>
      </c>
    </row>
    <row r="15" customFormat="false" ht="23.25" hidden="false" customHeight="true" outlineLevel="0" collapsed="false">
      <c r="A15" s="42" t="s">
        <v>319</v>
      </c>
      <c r="B15" s="9" t="s">
        <v>320</v>
      </c>
      <c r="C15" s="9" t="s">
        <v>321</v>
      </c>
      <c r="D15" s="9" t="s">
        <v>322</v>
      </c>
    </row>
    <row r="16" customFormat="false" ht="34.5" hidden="false" customHeight="true" outlineLevel="0" collapsed="false">
      <c r="A16" s="42" t="s">
        <v>323</v>
      </c>
      <c r="B16" s="9" t="s">
        <v>324</v>
      </c>
      <c r="C16" s="9" t="s">
        <v>325</v>
      </c>
      <c r="D16" s="9" t="s">
        <v>326</v>
      </c>
    </row>
    <row r="17" customFormat="false" ht="23.25" hidden="false" customHeight="true" outlineLevel="0" collapsed="false">
      <c r="A17" s="42" t="s">
        <v>327</v>
      </c>
      <c r="B17" s="9" t="s">
        <v>328</v>
      </c>
      <c r="C17" s="9" t="s">
        <v>329</v>
      </c>
      <c r="D17" s="9" t="s">
        <v>330</v>
      </c>
    </row>
    <row r="18" customFormat="false" ht="23.25" hidden="false" customHeight="true" outlineLevel="0" collapsed="false">
      <c r="A18" s="42" t="s">
        <v>331</v>
      </c>
      <c r="B18" s="9" t="s">
        <v>301</v>
      </c>
      <c r="C18" s="9" t="s">
        <v>332</v>
      </c>
      <c r="D18" s="9" t="s">
        <v>333</v>
      </c>
    </row>
    <row r="19" customFormat="false" ht="34.5" hidden="false" customHeight="true" outlineLevel="0" collapsed="false">
      <c r="A19" s="42" t="s">
        <v>334</v>
      </c>
      <c r="B19" s="9" t="s">
        <v>335</v>
      </c>
      <c r="C19" s="9" t="s">
        <v>336</v>
      </c>
      <c r="D19" s="9" t="s">
        <v>337</v>
      </c>
    </row>
    <row r="21" customFormat="false" ht="168" hidden="false" customHeight="true" outlineLevel="0" collapsed="false">
      <c r="A21" s="42" t="s">
        <v>338</v>
      </c>
      <c r="B21" s="9" t="s">
        <v>339</v>
      </c>
      <c r="C21" s="9" t="s">
        <v>340</v>
      </c>
      <c r="D21" s="9" t="s">
        <v>341</v>
      </c>
    </row>
    <row r="22" customFormat="false" ht="34.5" hidden="false" customHeight="true" outlineLevel="0" collapsed="false">
      <c r="A22" s="42" t="s">
        <v>342</v>
      </c>
      <c r="B22" s="43" t="s">
        <v>343</v>
      </c>
      <c r="C22" s="9" t="s">
        <v>344</v>
      </c>
      <c r="D22" s="9" t="s">
        <v>345</v>
      </c>
    </row>
    <row r="23" customFormat="false" ht="23.25" hidden="false" customHeight="true" outlineLevel="0" collapsed="false">
      <c r="A23" s="42" t="s">
        <v>342</v>
      </c>
      <c r="B23" s="9" t="s">
        <v>346</v>
      </c>
      <c r="C23" s="9" t="s">
        <v>347</v>
      </c>
      <c r="D23" s="9" t="s">
        <v>348</v>
      </c>
    </row>
    <row r="24" customFormat="false" ht="23.25" hidden="false" customHeight="true" outlineLevel="0" collapsed="false">
      <c r="A24" s="42" t="s">
        <v>349</v>
      </c>
      <c r="B24" s="9" t="s">
        <v>350</v>
      </c>
      <c r="C24" s="9" t="s">
        <v>351</v>
      </c>
      <c r="D24" s="9" t="s">
        <v>295</v>
      </c>
    </row>
    <row r="25" customFormat="false" ht="34.5" hidden="false" customHeight="true" outlineLevel="0" collapsed="false">
      <c r="A25" s="42" t="s">
        <v>352</v>
      </c>
      <c r="B25" s="9" t="s">
        <v>353</v>
      </c>
      <c r="C25" s="9" t="s">
        <v>354</v>
      </c>
      <c r="D25" s="9" t="s">
        <v>355</v>
      </c>
    </row>
    <row r="26" customFormat="false" ht="23.25" hidden="false" customHeight="true" outlineLevel="0" collapsed="false">
      <c r="A26" s="42" t="s">
        <v>352</v>
      </c>
      <c r="B26" s="9" t="s">
        <v>328</v>
      </c>
      <c r="C26" s="9" t="s">
        <v>356</v>
      </c>
      <c r="D26" s="9" t="s">
        <v>357</v>
      </c>
    </row>
    <row r="27" customFormat="false" ht="23.25" hidden="false" customHeight="true" outlineLevel="0" collapsed="false">
      <c r="A27" s="42" t="s">
        <v>358</v>
      </c>
      <c r="B27" s="9" t="s">
        <v>359</v>
      </c>
      <c r="C27" s="9" t="s">
        <v>360</v>
      </c>
      <c r="D27" s="9" t="s">
        <v>361</v>
      </c>
    </row>
    <row r="28" customFormat="false" ht="34.5" hidden="false" customHeight="true" outlineLevel="0" collapsed="false">
      <c r="A28" s="42" t="s">
        <v>362</v>
      </c>
      <c r="B28" s="9" t="s">
        <v>363</v>
      </c>
      <c r="C28" s="9" t="s">
        <v>364</v>
      </c>
      <c r="D28" s="9" t="s">
        <v>365</v>
      </c>
    </row>
    <row r="29" customFormat="false" ht="23.25" hidden="false" customHeight="true" outlineLevel="0" collapsed="false">
      <c r="A29" s="42" t="s">
        <v>362</v>
      </c>
      <c r="B29" s="43" t="s">
        <v>366</v>
      </c>
      <c r="C29" s="9" t="s">
        <v>367</v>
      </c>
      <c r="D29" s="9" t="s">
        <v>368</v>
      </c>
    </row>
    <row r="30" customFormat="false" ht="15" hidden="false" customHeight="true" outlineLevel="0" collapsed="false">
      <c r="A30" s="42" t="s">
        <v>369</v>
      </c>
      <c r="B30" s="9" t="s">
        <v>370</v>
      </c>
      <c r="C30" s="9" t="s">
        <v>371</v>
      </c>
      <c r="D30" s="9" t="s">
        <v>372</v>
      </c>
    </row>
    <row r="31" customFormat="false" ht="15" hidden="false" customHeight="true" outlineLevel="0" collapsed="false">
      <c r="A31" s="3" t="s">
        <v>373</v>
      </c>
      <c r="B31" s="3" t="s">
        <v>374</v>
      </c>
      <c r="C31" s="3" t="s">
        <v>375</v>
      </c>
      <c r="D31" s="3" t="s">
        <v>376</v>
      </c>
    </row>
    <row r="32" customFormat="false" ht="168" hidden="false" customHeight="true" outlineLevel="0" collapsed="false">
      <c r="A32" s="3" t="s">
        <v>377</v>
      </c>
      <c r="B32" s="3" t="s">
        <v>378</v>
      </c>
      <c r="C32" s="3"/>
      <c r="D32" s="3"/>
    </row>
    <row r="33" customFormat="false" ht="68.25" hidden="false" customHeight="true" outlineLevel="0" collapsed="false">
      <c r="A33" s="9" t="s">
        <v>379</v>
      </c>
      <c r="B33" s="9" t="s">
        <v>380</v>
      </c>
      <c r="C33" s="9" t="s">
        <v>381</v>
      </c>
      <c r="D33" s="9" t="s">
        <v>382</v>
      </c>
    </row>
    <row r="34" customFormat="false" ht="68.25" hidden="false" customHeight="true" outlineLevel="0" collapsed="false">
      <c r="A34" s="9" t="s">
        <v>383</v>
      </c>
      <c r="B34" s="9" t="s">
        <v>384</v>
      </c>
      <c r="C34" s="9" t="s">
        <v>385</v>
      </c>
      <c r="D34" s="9" t="s">
        <v>386</v>
      </c>
    </row>
    <row r="35" customFormat="false" ht="68.25" hidden="false" customHeight="true" outlineLevel="0" collapsed="false">
      <c r="A35" s="9" t="s">
        <v>387</v>
      </c>
      <c r="B35" s="9" t="s">
        <v>388</v>
      </c>
      <c r="C35" s="9" t="s">
        <v>389</v>
      </c>
      <c r="D35" s="9" t="s">
        <v>390</v>
      </c>
    </row>
    <row r="36" customFormat="false" ht="68.25" hidden="false" customHeight="true" outlineLevel="0" collapsed="false">
      <c r="A36" s="9" t="s">
        <v>391</v>
      </c>
      <c r="B36" s="9" t="s">
        <v>392</v>
      </c>
      <c r="C36" s="9" t="s">
        <v>393</v>
      </c>
      <c r="D36" s="9" t="s">
        <v>394</v>
      </c>
    </row>
    <row r="37" customFormat="false" ht="15" hidden="false" customHeight="true" outlineLevel="0" collapsed="false">
      <c r="A37" s="9" t="s">
        <v>395</v>
      </c>
      <c r="B37" s="9" t="s">
        <v>396</v>
      </c>
      <c r="C37" s="9" t="s">
        <v>397</v>
      </c>
      <c r="D37" s="9" t="s">
        <v>398</v>
      </c>
    </row>
    <row r="38" customFormat="false" ht="15" hidden="false" customHeight="true" outlineLevel="0" collapsed="false">
      <c r="A38" s="9" t="s">
        <v>399</v>
      </c>
      <c r="B38" s="9" t="s">
        <v>400</v>
      </c>
      <c r="C38" s="9" t="s">
        <v>401</v>
      </c>
      <c r="D38" s="9" t="s">
        <v>402</v>
      </c>
    </row>
    <row r="39" customFormat="false" ht="15" hidden="false" customHeight="true" outlineLevel="0" collapsed="false">
      <c r="A39" s="9" t="s">
        <v>403</v>
      </c>
      <c r="B39" s="9" t="s">
        <v>404</v>
      </c>
      <c r="C39" s="9" t="s">
        <v>405</v>
      </c>
      <c r="D39" s="9" t="s">
        <v>406</v>
      </c>
    </row>
    <row r="40" customFormat="false" ht="15" hidden="false" customHeight="true" outlineLevel="0" collapsed="false">
      <c r="A40" s="9" t="s">
        <v>407</v>
      </c>
      <c r="B40" s="9" t="s">
        <v>408</v>
      </c>
      <c r="C40" s="9" t="s">
        <v>409</v>
      </c>
      <c r="D40" s="9" t="s">
        <v>410</v>
      </c>
    </row>
    <row r="41" customFormat="false" ht="15" hidden="false" customHeight="true" outlineLevel="0" collapsed="false">
      <c r="A41" s="9" t="s">
        <v>411</v>
      </c>
      <c r="B41" s="9" t="s">
        <v>412</v>
      </c>
      <c r="C41" s="9" t="s">
        <v>413</v>
      </c>
      <c r="D41" s="9" t="s">
        <v>414</v>
      </c>
    </row>
    <row r="42" customFormat="false" ht="15" hidden="false" customHeight="true" outlineLevel="0" collapsed="false">
      <c r="A42" s="9" t="s">
        <v>415</v>
      </c>
      <c r="B42" s="9" t="s">
        <v>416</v>
      </c>
      <c r="C42" s="9" t="s">
        <v>417</v>
      </c>
      <c r="D42" s="9" t="s">
        <v>418</v>
      </c>
    </row>
    <row r="43" customFormat="false" ht="15" hidden="false" customHeight="true" outlineLevel="0" collapsed="false">
      <c r="A43" s="9" t="s">
        <v>419</v>
      </c>
      <c r="B43" s="9" t="s">
        <v>420</v>
      </c>
      <c r="C43" s="9" t="s">
        <v>421</v>
      </c>
      <c r="D43" s="9" t="s">
        <v>422</v>
      </c>
    </row>
    <row r="44" customFormat="false" ht="15" hidden="false" customHeight="true" outlineLevel="0" collapsed="false">
      <c r="A44" s="9" t="s">
        <v>423</v>
      </c>
      <c r="B44" s="9" t="s">
        <v>424</v>
      </c>
      <c r="C44" s="9" t="s">
        <v>425</v>
      </c>
    </row>
    <row r="45" customFormat="false" ht="15" hidden="false" customHeight="true" outlineLevel="0" collapsed="false">
      <c r="A45" s="9" t="s">
        <v>426</v>
      </c>
      <c r="B45" s="9" t="s">
        <v>427</v>
      </c>
      <c r="C45" s="9" t="s">
        <v>428</v>
      </c>
    </row>
    <row r="46" customFormat="false" ht="15" hidden="false" customHeight="true" outlineLevel="0" collapsed="false">
      <c r="A46" s="9" t="s">
        <v>429</v>
      </c>
      <c r="B46" s="9" t="s">
        <v>430</v>
      </c>
      <c r="C46" s="9" t="s">
        <v>431</v>
      </c>
    </row>
    <row r="47" customFormat="false" ht="15" hidden="false" customHeight="true" outlineLevel="0" collapsed="false">
      <c r="A47" s="9" t="s">
        <v>432</v>
      </c>
      <c r="B47" s="9" t="s">
        <v>433</v>
      </c>
      <c r="C47" s="9" t="s">
        <v>434</v>
      </c>
    </row>
    <row r="48" customFormat="false" ht="15" hidden="false" customHeight="true" outlineLevel="0" collapsed="false">
      <c r="A48" s="9" t="s">
        <v>435</v>
      </c>
      <c r="B48" s="9" t="s">
        <v>436</v>
      </c>
      <c r="C48" s="9" t="s">
        <v>437</v>
      </c>
    </row>
    <row r="49" customFormat="false" ht="15" hidden="false" customHeight="true" outlineLevel="0" collapsed="false">
      <c r="A49" s="9" t="s">
        <v>438</v>
      </c>
      <c r="B49" s="9" t="s">
        <v>439</v>
      </c>
      <c r="C49" s="9" t="s">
        <v>440</v>
      </c>
    </row>
    <row r="50" customFormat="false" ht="15" hidden="false" customHeight="true" outlineLevel="0" collapsed="false">
      <c r="A50" s="1" t="s">
        <v>441</v>
      </c>
      <c r="B50" s="1" t="s">
        <v>442</v>
      </c>
      <c r="C50" s="1" t="s">
        <v>443</v>
      </c>
      <c r="D50" s="1" t="s">
        <v>444</v>
      </c>
    </row>
    <row r="51" customFormat="false" ht="15" hidden="false" customHeight="true" outlineLevel="0" collapsed="false">
      <c r="A51" s="1" t="s">
        <v>445</v>
      </c>
      <c r="B51" s="1" t="s">
        <v>446</v>
      </c>
      <c r="C51" s="1" t="s">
        <v>447</v>
      </c>
      <c r="D51" s="1" t="s">
        <v>448</v>
      </c>
    </row>
    <row r="52" customFormat="false" ht="15" hidden="false" customHeight="true" outlineLevel="0" collapsed="false">
      <c r="A52" s="44" t="s">
        <v>449</v>
      </c>
    </row>
    <row r="53" customFormat="false" ht="15" hidden="false" customHeight="true" outlineLevel="0" collapsed="false"/>
    <row r="54" customFormat="false" ht="15" hidden="false" customHeight="true" outlineLevel="0" collapsed="false">
      <c r="A54" s="45" t="s">
        <v>450</v>
      </c>
    </row>
    <row r="55" customFormat="false" ht="15" hidden="false" customHeight="true" outlineLevel="0" collapsed="false">
      <c r="A55" s="3" t="s">
        <v>451</v>
      </c>
    </row>
    <row r="56" customFormat="false" ht="15" hidden="false" customHeight="true" outlineLevel="0" collapsed="false">
      <c r="A56" s="3" t="s">
        <v>452</v>
      </c>
    </row>
    <row r="57" customFormat="false" ht="15" hidden="false" customHeight="true" outlineLevel="0" collapsed="false">
      <c r="A57" s="3" t="s">
        <v>453</v>
      </c>
    </row>
    <row r="58" customFormat="false" ht="15" hidden="false" customHeight="true" outlineLevel="0" collapsed="false">
      <c r="A58" s="3" t="s">
        <v>454</v>
      </c>
    </row>
    <row r="59" customFormat="false" ht="15" hidden="false" customHeight="true" outlineLevel="0" collapsed="false">
      <c r="A59" s="3" t="s">
        <v>455</v>
      </c>
    </row>
    <row r="60" customFormat="false" ht="15" hidden="false" customHeight="true" outlineLevel="0" collapsed="false">
      <c r="A60" s="3" t="s">
        <v>456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8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44"/>
    <col collapsed="false" customWidth="true" hidden="false" outlineLevel="0" max="6" min="2" style="1" width="16"/>
    <col collapsed="false" customWidth="true" hidden="false" outlineLevel="0" max="7" min="7" style="1" width="60"/>
  </cols>
  <sheetData>
    <row r="1" customFormat="false" ht="15.75" hidden="false" customHeight="true" outlineLevel="0" collapsed="false">
      <c r="A1" s="2" t="s">
        <v>457</v>
      </c>
    </row>
    <row r="2" customFormat="false" ht="15" hidden="false" customHeight="true" outlineLevel="0" collapsed="false">
      <c r="A2" s="7" t="s">
        <v>458</v>
      </c>
    </row>
    <row r="3" customFormat="false" ht="15" hidden="false" customHeight="true" outlineLevel="0" collapsed="false">
      <c r="A3" s="3" t="s">
        <v>459</v>
      </c>
    </row>
    <row r="4" customFormat="false" ht="15" hidden="false" customHeight="true" outlineLevel="0" collapsed="false">
      <c r="A4" s="3" t="s">
        <v>460</v>
      </c>
    </row>
    <row r="5" customFormat="false" ht="15" hidden="false" customHeight="true" outlineLevel="0" collapsed="false">
      <c r="A5" s="3" t="s">
        <v>461</v>
      </c>
    </row>
    <row r="6" customFormat="false" ht="15" hidden="false" customHeight="true" outlineLevel="0" collapsed="false">
      <c r="A6" s="7"/>
    </row>
    <row r="7" customFormat="false" ht="15" hidden="false" customHeight="true" outlineLevel="0" collapsed="false">
      <c r="A7" s="7"/>
    </row>
    <row r="9" customFormat="false" ht="15" hidden="false" customHeight="true" outlineLevel="0" collapsed="false">
      <c r="A9" s="4" t="s">
        <v>462</v>
      </c>
    </row>
    <row r="10" customFormat="false" ht="15" hidden="false" customHeight="true" outlineLevel="0" collapsed="false">
      <c r="A10" s="8" t="s">
        <v>178</v>
      </c>
      <c r="B10" s="8" t="s">
        <v>463</v>
      </c>
      <c r="C10" s="8"/>
      <c r="D10" s="8"/>
      <c r="E10" s="8"/>
      <c r="F10" s="8"/>
      <c r="G10" s="8" t="s">
        <v>464</v>
      </c>
    </row>
    <row r="11" customFormat="false" ht="21.75" hidden="false" customHeight="true" outlineLevel="0" collapsed="false">
      <c r="A11" s="3" t="s">
        <v>465</v>
      </c>
      <c r="B11" s="46" t="n">
        <v>0.125</v>
      </c>
      <c r="G11" s="44" t="s">
        <v>466</v>
      </c>
    </row>
    <row r="12" customFormat="false" ht="21.75" hidden="false" customHeight="true" outlineLevel="0" collapsed="false">
      <c r="A12" s="3" t="s">
        <v>467</v>
      </c>
      <c r="B12" s="47" t="n">
        <v>75</v>
      </c>
      <c r="G12" s="44" t="s">
        <v>468</v>
      </c>
    </row>
    <row r="13" customFormat="false" ht="15" hidden="false" customHeight="true" outlineLevel="0" collapsed="false">
      <c r="A13" s="3" t="s">
        <v>469</v>
      </c>
      <c r="B13" s="48" t="n">
        <v>1800</v>
      </c>
      <c r="G13" s="44" t="s">
        <v>470</v>
      </c>
    </row>
    <row r="14" customFormat="false" ht="15" hidden="false" customHeight="true" outlineLevel="0" collapsed="false">
      <c r="A14" s="3" t="s">
        <v>471</v>
      </c>
      <c r="B14" s="48" t="n">
        <v>8760</v>
      </c>
      <c r="G14" s="44" t="s">
        <v>472</v>
      </c>
    </row>
    <row r="15" customFormat="false" ht="21.75" hidden="false" customHeight="true" outlineLevel="0" collapsed="false">
      <c r="A15" s="3" t="s">
        <v>473</v>
      </c>
      <c r="B15" s="49" t="n">
        <v>0.5</v>
      </c>
      <c r="G15" s="44" t="s">
        <v>474</v>
      </c>
    </row>
    <row r="16" customFormat="false" ht="15" hidden="false" customHeight="true" outlineLevel="0" collapsed="false">
      <c r="A16" s="3" t="s">
        <v>475</v>
      </c>
      <c r="B16" s="49" t="n">
        <v>0.12</v>
      </c>
      <c r="G16" s="44" t="s">
        <v>476</v>
      </c>
    </row>
    <row r="17" customFormat="false" ht="21.75" hidden="false" customHeight="true" outlineLevel="0" collapsed="false">
      <c r="A17" s="3" t="s">
        <v>477</v>
      </c>
      <c r="B17" s="49" t="n">
        <v>0.012</v>
      </c>
      <c r="G17" s="44" t="s">
        <v>478</v>
      </c>
    </row>
    <row r="18" customFormat="false" ht="15" hidden="false" customHeight="true" outlineLevel="0" collapsed="false">
      <c r="A18" s="3" t="s">
        <v>479</v>
      </c>
      <c r="B18" s="49" t="n">
        <v>0.3</v>
      </c>
      <c r="G18" s="44" t="s">
        <v>480</v>
      </c>
    </row>
    <row r="20" customFormat="false" ht="15" hidden="false" customHeight="true" outlineLevel="0" collapsed="false">
      <c r="A20" s="4" t="s">
        <v>481</v>
      </c>
    </row>
    <row r="21" customFormat="false" ht="15" hidden="false" customHeight="true" outlineLevel="0" collapsed="false">
      <c r="A21" s="3" t="s">
        <v>482</v>
      </c>
      <c r="B21" s="47" t="n">
        <v>2000000</v>
      </c>
      <c r="G21" s="44" t="s">
        <v>483</v>
      </c>
    </row>
    <row r="22" customFormat="false" ht="15" hidden="false" customHeight="true" outlineLevel="0" collapsed="false">
      <c r="A22" s="3" t="s">
        <v>484</v>
      </c>
      <c r="B22" s="47" t="n">
        <v>2000000</v>
      </c>
    </row>
    <row r="23" customFormat="false" ht="15" hidden="false" customHeight="true" outlineLevel="0" collapsed="false">
      <c r="A23" s="7"/>
      <c r="B23" s="50"/>
      <c r="C23" s="50"/>
      <c r="D23" s="50"/>
      <c r="E23" s="50"/>
      <c r="F23" s="50"/>
      <c r="G23" s="50"/>
    </row>
    <row r="24" customFormat="false" ht="15" hidden="false" customHeight="true" outlineLevel="0" collapsed="false">
      <c r="A24" s="3"/>
      <c r="B24" s="51"/>
    </row>
    <row r="25" customFormat="false" ht="15" hidden="false" customHeight="true" outlineLevel="0" collapsed="false">
      <c r="A25" s="8" t="s">
        <v>485</v>
      </c>
      <c r="B25" s="52" t="s">
        <v>486</v>
      </c>
      <c r="C25" s="8" t="s">
        <v>487</v>
      </c>
      <c r="D25" s="8" t="s">
        <v>488</v>
      </c>
      <c r="E25" s="8"/>
      <c r="F25" s="8"/>
      <c r="G25" s="8"/>
    </row>
    <row r="26" customFormat="false" ht="15" hidden="false" customHeight="true" outlineLevel="0" collapsed="false">
      <c r="A26" s="3" t="s">
        <v>489</v>
      </c>
      <c r="B26" s="51" t="n">
        <f aca="false">-SUM(Class_NVIDIA_Datacenter!B94:G94)</f>
        <v>2061625</v>
      </c>
      <c r="C26" s="51" t="n">
        <f aca="false">$B$22-B26</f>
        <v>-61625</v>
      </c>
      <c r="D26" s="6" t="str">
        <f aca="false">IF(B26&lt;=$B$22,"yes","OVER")</f>
        <v>OVER</v>
      </c>
    </row>
    <row r="27" customFormat="false" ht="15" hidden="false" customHeight="true" outlineLevel="0" collapsed="false">
      <c r="A27" s="3"/>
      <c r="B27" s="51"/>
      <c r="C27" s="51"/>
      <c r="D27" s="6"/>
    </row>
    <row r="28" customFormat="false" ht="15" hidden="false" customHeight="true" outlineLevel="0" collapsed="false">
      <c r="A28" s="3"/>
      <c r="B28" s="19"/>
      <c r="C28" s="51"/>
      <c r="D28" s="6"/>
    </row>
    <row r="29" customFormat="false" ht="15" hidden="false" customHeight="true" outlineLevel="0" collapsed="false">
      <c r="A29" s="3"/>
      <c r="B29" s="51"/>
      <c r="C29" s="51"/>
      <c r="D29" s="6"/>
    </row>
    <row r="30" customFormat="false" ht="15" hidden="false" customHeight="true" outlineLevel="0" collapsed="false">
      <c r="A30" s="3"/>
      <c r="B30" s="19"/>
      <c r="C30" s="51"/>
      <c r="D30" s="6"/>
      <c r="G30" s="7"/>
    </row>
    <row r="31" customFormat="false" ht="15" hidden="false" customHeight="true" outlineLevel="0" collapsed="false">
      <c r="A31" s="4" t="s">
        <v>490</v>
      </c>
    </row>
    <row r="32" customFormat="false" ht="15" hidden="false" customHeight="true" outlineLevel="0" collapsed="false">
      <c r="A32" s="9" t="s">
        <v>491</v>
      </c>
    </row>
    <row r="33" customFormat="false" ht="15" hidden="false" customHeight="true" outlineLevel="0" collapsed="false">
      <c r="A33" s="50"/>
      <c r="B33" s="50"/>
      <c r="C33" s="50"/>
      <c r="D33" s="50"/>
      <c r="E33" s="50"/>
      <c r="F33" s="50"/>
      <c r="G33" s="50"/>
    </row>
    <row r="34" customFormat="false" ht="15" hidden="false" customHeight="true" outlineLevel="0" collapsed="false">
      <c r="A34" s="3" t="s">
        <v>492</v>
      </c>
      <c r="B34" s="49" t="n">
        <v>0.65</v>
      </c>
      <c r="C34" s="53"/>
      <c r="D34" s="53"/>
      <c r="E34" s="53"/>
      <c r="G34" s="44" t="s">
        <v>493</v>
      </c>
    </row>
    <row r="35" customFormat="false" ht="15" hidden="false" customHeight="true" outlineLevel="0" collapsed="false">
      <c r="A35" s="3" t="s">
        <v>494</v>
      </c>
      <c r="B35" s="54" t="n">
        <v>1.16</v>
      </c>
      <c r="C35" s="53"/>
      <c r="D35" s="53"/>
      <c r="E35" s="53"/>
      <c r="G35" s="44" t="s">
        <v>495</v>
      </c>
    </row>
    <row r="36" customFormat="false" ht="15" hidden="false" customHeight="true" outlineLevel="0" collapsed="false">
      <c r="A36" s="3" t="s">
        <v>496</v>
      </c>
      <c r="B36" s="55" t="n">
        <f aca="false">$B$45+(1-$B$44)*($B$46-$B$45)</f>
        <v>598</v>
      </c>
      <c r="C36" s="53"/>
      <c r="D36" s="53"/>
      <c r="E36" s="53"/>
      <c r="G36" s="56" t="s">
        <v>497</v>
      </c>
    </row>
    <row r="37" customFormat="false" ht="15" hidden="false" customHeight="true" outlineLevel="0" collapsed="false">
      <c r="A37" s="3" t="s">
        <v>498</v>
      </c>
      <c r="B37" s="49" t="n">
        <v>0.12</v>
      </c>
      <c r="C37" s="53"/>
      <c r="D37" s="53"/>
      <c r="E37" s="53"/>
      <c r="G37" s="44" t="s">
        <v>499</v>
      </c>
    </row>
    <row r="38" customFormat="false" ht="15" hidden="false" customHeight="true" outlineLevel="0" collapsed="false">
      <c r="A38" s="3" t="s">
        <v>500</v>
      </c>
      <c r="B38" s="57" t="n">
        <v>12</v>
      </c>
      <c r="C38" s="53"/>
      <c r="D38" s="53"/>
      <c r="E38" s="53"/>
      <c r="G38" s="44" t="s">
        <v>501</v>
      </c>
    </row>
    <row r="39" customFormat="false" ht="15" hidden="false" customHeight="true" outlineLevel="0" collapsed="false">
      <c r="A39" s="3" t="s">
        <v>502</v>
      </c>
      <c r="B39" s="57" t="n">
        <v>80</v>
      </c>
      <c r="C39" s="53"/>
      <c r="D39" s="53"/>
      <c r="E39" s="53"/>
      <c r="G39" s="44" t="s">
        <v>503</v>
      </c>
    </row>
    <row r="40" customFormat="false" ht="15" hidden="false" customHeight="true" outlineLevel="0" collapsed="false">
      <c r="A40" s="3"/>
      <c r="B40" s="58"/>
      <c r="C40" s="58"/>
      <c r="D40" s="58"/>
      <c r="E40" s="58"/>
      <c r="G40" s="44"/>
    </row>
    <row r="41" customFormat="false" ht="15" hidden="false" customHeight="true" outlineLevel="0" collapsed="false">
      <c r="A41" s="3" t="s">
        <v>504</v>
      </c>
      <c r="B41" s="59" t="n">
        <f aca="false">B38*B12</f>
        <v>900</v>
      </c>
      <c r="C41" s="59"/>
      <c r="D41" s="59"/>
      <c r="E41" s="59"/>
      <c r="G41" s="44"/>
    </row>
    <row r="42" customFormat="false" ht="15" hidden="false" customHeight="true" outlineLevel="0" collapsed="false">
      <c r="A42" s="3" t="s">
        <v>505</v>
      </c>
      <c r="B42" s="60" t="n">
        <v>0.15</v>
      </c>
      <c r="C42" s="53"/>
      <c r="D42" s="61" t="s">
        <v>506</v>
      </c>
      <c r="E42" s="53"/>
      <c r="G42" s="56" t="s">
        <v>507</v>
      </c>
    </row>
    <row r="43" customFormat="false" ht="15" hidden="false" customHeight="true" outlineLevel="0" collapsed="false">
      <c r="A43" s="3" t="s">
        <v>508</v>
      </c>
      <c r="B43" s="60" t="n">
        <f aca="false">ServiceLines!G57</f>
        <v>0.104166666666667</v>
      </c>
      <c r="C43" s="58"/>
      <c r="D43" s="62" t="s">
        <v>509</v>
      </c>
      <c r="E43" s="63" t="n">
        <f aca="false">B36</f>
        <v>598</v>
      </c>
      <c r="G43" s="56" t="s">
        <v>510</v>
      </c>
    </row>
    <row r="44" customFormat="false" ht="21.75" hidden="false" customHeight="true" outlineLevel="0" collapsed="false">
      <c r="A44" s="3" t="s">
        <v>511</v>
      </c>
      <c r="B44" s="60" t="n">
        <f aca="false">Scenarios!B12</f>
        <v>1</v>
      </c>
      <c r="C44" s="59"/>
      <c r="D44" s="64" t="s">
        <v>512</v>
      </c>
      <c r="E44" s="63" t="n">
        <f aca="false">SUM(Class_NVIDIA_Datacenter!B78:G78)+SUM(ServiceLines!B42:G42)</f>
        <v>490420.8</v>
      </c>
      <c r="G44" s="56" t="s">
        <v>513</v>
      </c>
    </row>
    <row r="45" customFormat="false" ht="15" hidden="false" customHeight="true" outlineLevel="0" collapsed="false">
      <c r="A45" s="3" t="s">
        <v>514</v>
      </c>
      <c r="B45" s="47" t="n">
        <f aca="false">Scenarios!B13</f>
        <v>598</v>
      </c>
      <c r="C45" s="59"/>
      <c r="D45" s="64" t="s">
        <v>206</v>
      </c>
      <c r="E45" s="65" t="n">
        <f aca="false">Class_NVIDIA_Datacenter!B111</f>
        <v>2.14994205316461</v>
      </c>
      <c r="G45" s="56" t="s">
        <v>515</v>
      </c>
    </row>
    <row r="46" customFormat="false" ht="15" hidden="false" customHeight="true" outlineLevel="0" collapsed="false">
      <c r="A46" s="3" t="s">
        <v>516</v>
      </c>
      <c r="B46" s="47" t="n">
        <f aca="false">Scenarios!B14</f>
        <v>2541</v>
      </c>
      <c r="D46" s="3" t="s">
        <v>202</v>
      </c>
      <c r="E46" s="63" t="n">
        <f aca="false">Financing!B13</f>
        <v>2137147.8472551</v>
      </c>
      <c r="G46" s="66" t="s">
        <v>517</v>
      </c>
    </row>
    <row r="47" customFormat="false" ht="15" hidden="false" customHeight="true" outlineLevel="0" collapsed="false">
      <c r="A47" s="1" t="s">
        <v>518</v>
      </c>
      <c r="B47" s="67" t="n">
        <f aca="false">Scenarios!B15</f>
        <v>110.4</v>
      </c>
      <c r="D47" s="3" t="s">
        <v>519</v>
      </c>
      <c r="E47" s="63" t="n">
        <f aca="false">Financing!G24</f>
        <v>4677130.28606374</v>
      </c>
      <c r="G47" s="1" t="s">
        <v>520</v>
      </c>
      <c r="I47" s="1" t="s">
        <v>521</v>
      </c>
    </row>
    <row r="48" customFormat="false" ht="15" hidden="false" customHeight="true" outlineLevel="0" collapsed="false">
      <c r="A48" s="4" t="s">
        <v>522</v>
      </c>
    </row>
    <row r="49" customFormat="false" ht="15" hidden="false" customHeight="true" outlineLevel="0" collapsed="false">
      <c r="A49" s="44" t="s">
        <v>523</v>
      </c>
    </row>
    <row r="50" customFormat="false" ht="15" hidden="false" customHeight="true" outlineLevel="0" collapsed="false">
      <c r="A50" s="7" t="s">
        <v>524</v>
      </c>
      <c r="B50" s="68" t="n">
        <v>0.01</v>
      </c>
      <c r="G50" s="1" t="s">
        <v>525</v>
      </c>
    </row>
    <row r="51" customFormat="false" ht="15" hidden="false" customHeight="true" outlineLevel="0" collapsed="false">
      <c r="A51" s="1" t="s">
        <v>526</v>
      </c>
      <c r="B51" s="69" t="n">
        <v>30000</v>
      </c>
      <c r="G51" s="1" t="s">
        <v>527</v>
      </c>
    </row>
    <row r="52" customFormat="false" ht="15" hidden="false" customHeight="true" outlineLevel="0" collapsed="false">
      <c r="A52" s="3" t="s">
        <v>528</v>
      </c>
      <c r="B52" s="47" t="n">
        <v>15000</v>
      </c>
      <c r="G52" s="44" t="s">
        <v>529</v>
      </c>
      <c r="I52" s="1" t="s">
        <v>530</v>
      </c>
    </row>
    <row r="53" customFormat="false" ht="21.75" hidden="false" customHeight="true" outlineLevel="0" collapsed="false">
      <c r="A53" s="3" t="s">
        <v>531</v>
      </c>
      <c r="B53" s="47" t="n">
        <v>8000</v>
      </c>
      <c r="G53" s="44" t="s">
        <v>532</v>
      </c>
    </row>
    <row r="54" customFormat="false" ht="15" hidden="false" customHeight="true" outlineLevel="0" collapsed="false">
      <c r="A54" s="3" t="s">
        <v>533</v>
      </c>
      <c r="B54" s="47" t="n">
        <v>10000</v>
      </c>
      <c r="G54" s="44" t="s">
        <v>534</v>
      </c>
    </row>
    <row r="55" customFormat="false" ht="21.75" hidden="false" customHeight="true" outlineLevel="0" collapsed="false">
      <c r="A55" s="3" t="s">
        <v>535</v>
      </c>
      <c r="B55" s="47" t="n">
        <v>5000</v>
      </c>
      <c r="G55" s="44" t="s">
        <v>536</v>
      </c>
    </row>
    <row r="56" customFormat="false" ht="15" hidden="false" customHeight="true" outlineLevel="0" collapsed="false">
      <c r="A56" s="3" t="s">
        <v>537</v>
      </c>
      <c r="B56" s="47" t="n">
        <v>15000</v>
      </c>
      <c r="G56" s="44" t="s">
        <v>538</v>
      </c>
    </row>
    <row r="57" customFormat="false" ht="21.75" hidden="false" customHeight="true" outlineLevel="0" collapsed="false">
      <c r="A57" s="3" t="s">
        <v>539</v>
      </c>
      <c r="B57" s="57" t="n">
        <v>0.25</v>
      </c>
      <c r="G57" s="44" t="s">
        <v>540</v>
      </c>
    </row>
    <row r="59" customFormat="false" ht="15" hidden="false" customHeight="true" outlineLevel="0" collapsed="false">
      <c r="A59" s="9" t="s">
        <v>541</v>
      </c>
    </row>
    <row r="60" customFormat="false" ht="15" hidden="false" customHeight="true" outlineLevel="0" collapsed="false">
      <c r="A60" s="3"/>
      <c r="B60" s="70"/>
    </row>
    <row r="61" customFormat="false" ht="15" hidden="false" customHeight="true" outlineLevel="0" collapsed="false">
      <c r="A61" s="3"/>
      <c r="B61" s="70"/>
    </row>
    <row r="62" customFormat="false" ht="15" hidden="false" customHeight="true" outlineLevel="0" collapsed="false">
      <c r="A62" s="3"/>
      <c r="B62" s="70"/>
    </row>
    <row r="63" customFormat="false" ht="15" hidden="false" customHeight="true" outlineLevel="0" collapsed="false">
      <c r="A63" s="3"/>
      <c r="B63" s="70"/>
    </row>
    <row r="64" customFormat="false" ht="15" hidden="false" customHeight="true" outlineLevel="0" collapsed="false">
      <c r="A64" s="6"/>
      <c r="B64" s="6"/>
      <c r="G64" s="7"/>
    </row>
    <row r="67" customFormat="false" ht="15" hidden="false" customHeight="true" outlineLevel="0" collapsed="false">
      <c r="A67" s="4" t="s">
        <v>542</v>
      </c>
    </row>
    <row r="68" customFormat="false" ht="15" hidden="false" customHeight="true" outlineLevel="0" collapsed="false">
      <c r="A68" s="7" t="s">
        <v>543</v>
      </c>
    </row>
    <row r="69" customFormat="false" ht="15" hidden="false" customHeight="true" outlineLevel="0" collapsed="false">
      <c r="A69" s="3" t="s">
        <v>544</v>
      </c>
      <c r="B69" s="71" t="n">
        <v>0</v>
      </c>
      <c r="G69" s="44" t="s">
        <v>545</v>
      </c>
    </row>
    <row r="70" customFormat="false" ht="15" hidden="false" customHeight="true" outlineLevel="0" collapsed="false">
      <c r="A70" s="3" t="s">
        <v>546</v>
      </c>
      <c r="B70" s="71" t="n">
        <v>0.2</v>
      </c>
      <c r="G70" s="44" t="s">
        <v>547</v>
      </c>
    </row>
    <row r="71" customFormat="false" ht="15" hidden="false" customHeight="true" outlineLevel="0" collapsed="false">
      <c r="A71" s="3" t="s">
        <v>548</v>
      </c>
      <c r="B71" s="71" t="n">
        <v>0.2327</v>
      </c>
      <c r="G71" s="44" t="s">
        <v>549</v>
      </c>
    </row>
    <row r="72" customFormat="false" ht="21.75" hidden="false" customHeight="true" outlineLevel="0" collapsed="false">
      <c r="A72" s="3" t="s">
        <v>550</v>
      </c>
      <c r="B72" s="72" t="n">
        <f aca="false">PowerScenarios!B24</f>
        <v>0.0824950841709798</v>
      </c>
      <c r="G72" s="44" t="s">
        <v>551</v>
      </c>
    </row>
    <row r="73" customFormat="false" ht="15" hidden="false" customHeight="true" outlineLevel="0" collapsed="false">
      <c r="A73" s="3" t="s">
        <v>552</v>
      </c>
      <c r="B73" s="73" t="n">
        <v>0</v>
      </c>
    </row>
    <row r="74" customFormat="false" ht="15" hidden="false" customHeight="true" outlineLevel="0" collapsed="false">
      <c r="A74" s="6" t="s">
        <v>553</v>
      </c>
      <c r="B74" s="74" t="n">
        <f aca="false">IF($B$73=0,$B$11,INDEX($B$69:$B$72,$B$73))</f>
        <v>0.125</v>
      </c>
      <c r="G74" s="7" t="s">
        <v>554</v>
      </c>
    </row>
    <row r="76" customFormat="false" ht="15" hidden="false" customHeight="true" outlineLevel="0" collapsed="false">
      <c r="A76" s="4" t="s">
        <v>555</v>
      </c>
    </row>
    <row r="77" customFormat="false" ht="15" hidden="false" customHeight="true" outlineLevel="0" collapsed="false">
      <c r="A77" s="1" t="s">
        <v>556</v>
      </c>
      <c r="B77" s="75" t="n">
        <v>14.84</v>
      </c>
      <c r="G77" s="1" t="s">
        <v>557</v>
      </c>
    </row>
    <row r="78" customFormat="false" ht="15" hidden="false" customHeight="true" outlineLevel="0" collapsed="false">
      <c r="A78" s="7" t="s">
        <v>558</v>
      </c>
      <c r="B78" s="68" t="n">
        <v>0.2</v>
      </c>
      <c r="G78" s="1" t="s">
        <v>559</v>
      </c>
    </row>
    <row r="79" customFormat="false" ht="15" hidden="false" customHeight="true" outlineLevel="0" collapsed="false">
      <c r="A79" s="7" t="s">
        <v>560</v>
      </c>
      <c r="B79" s="68" t="n">
        <v>0.2</v>
      </c>
      <c r="G79" s="1" t="s">
        <v>561</v>
      </c>
    </row>
    <row r="80" customFormat="false" ht="15" hidden="false" customHeight="true" outlineLevel="0" collapsed="false">
      <c r="A80" s="7" t="s">
        <v>562</v>
      </c>
      <c r="B80" s="68" t="n">
        <v>1</v>
      </c>
      <c r="G80" s="1" t="s">
        <v>563</v>
      </c>
    </row>
    <row r="81" customFormat="false" ht="15" hidden="false" customHeight="true" outlineLevel="0" collapsed="false">
      <c r="A81" s="7" t="s">
        <v>564</v>
      </c>
      <c r="B81" s="68" t="n">
        <v>0.5</v>
      </c>
      <c r="G81" s="1" t="s">
        <v>565</v>
      </c>
    </row>
    <row r="82" customFormat="false" ht="15" hidden="false" customHeight="true" outlineLevel="0" collapsed="false">
      <c r="A82" s="7" t="s">
        <v>566</v>
      </c>
      <c r="B82" s="68" t="n">
        <v>1</v>
      </c>
      <c r="G82" s="1" t="s">
        <v>567</v>
      </c>
    </row>
  </sheetData>
  <dataValidations count="1">
    <dataValidation allowBlank="false" error="This cell is a share, so it must be between 0% and 100%. Type &quot;40%&quot; or &quot;0.4&quot;, not &quot;40&quot;." errorStyle="stop" errorTitle="Enter a percentage between 0% and 100%" operator="between" prompt="Type any percentage from 0% to 100%.&#10;100% = a grant pays the whole facility; the compute pays only its share of operating cost.&#10;0% = the facility is financed over 20 years at 7.5% and the compute pays that too.&#10;Anything between blends the two in a straigh" promptTitle="Grant share of facility capex" showDropDown="false" showErrorMessage="true" showInputMessage="true" sqref="B44" type="decimal">
      <formula1>0</formula1>
      <formula2>1</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1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38"/>
    <col collapsed="false" customWidth="true" hidden="false" outlineLevel="0" max="4" min="2" style="1" width="12"/>
    <col collapsed="false" customWidth="true" hidden="false" outlineLevel="0" max="6" min="5" style="1" width="13"/>
    <col collapsed="false" customWidth="true" hidden="false" outlineLevel="0" max="7" min="7" style="1" width="11"/>
    <col collapsed="false" customWidth="true" hidden="false" outlineLevel="0" max="8" min="8" style="1" width="12"/>
    <col collapsed="false" customWidth="true" hidden="false" outlineLevel="0" max="9" min="9" style="1" width="14"/>
    <col collapsed="false" customWidth="true" hidden="false" outlineLevel="0" max="11" min="10" style="1" width="11"/>
    <col collapsed="false" customWidth="true" hidden="false" outlineLevel="0" max="12" min="12" style="1" width="56"/>
  </cols>
  <sheetData>
    <row r="1" customFormat="false" ht="15.75" hidden="false" customHeight="true" outlineLevel="0" collapsed="false">
      <c r="A1" s="2" t="s">
        <v>568</v>
      </c>
    </row>
    <row r="2" customFormat="false" ht="15" hidden="false" customHeight="true" outlineLevel="0" collapsed="false">
      <c r="A2" s="7" t="s">
        <v>569</v>
      </c>
    </row>
    <row r="3" customFormat="false" ht="15" hidden="false" customHeight="true" outlineLevel="0" collapsed="false">
      <c r="A3" s="3" t="s">
        <v>570</v>
      </c>
    </row>
    <row r="5" customFormat="false" ht="15" hidden="false" customHeight="true" outlineLevel="0" collapsed="false">
      <c r="A5" s="4" t="s">
        <v>571</v>
      </c>
    </row>
    <row r="6" customFormat="false" ht="15" hidden="false" customHeight="true" outlineLevel="0" collapsed="false">
      <c r="A6" s="8" t="s">
        <v>572</v>
      </c>
      <c r="B6" s="8" t="s">
        <v>573</v>
      </c>
      <c r="C6" s="8" t="s">
        <v>574</v>
      </c>
      <c r="D6" s="8" t="s">
        <v>575</v>
      </c>
      <c r="E6" s="8" t="s">
        <v>576</v>
      </c>
      <c r="F6" s="8" t="s">
        <v>577</v>
      </c>
      <c r="G6" s="8" t="s">
        <v>578</v>
      </c>
      <c r="H6" s="8" t="s">
        <v>579</v>
      </c>
      <c r="I6" s="8" t="s">
        <v>580</v>
      </c>
      <c r="J6" s="8" t="s">
        <v>581</v>
      </c>
      <c r="K6" s="8" t="s">
        <v>582</v>
      </c>
      <c r="L6" s="8" t="s">
        <v>583</v>
      </c>
    </row>
    <row r="7" customFormat="false" ht="21.75" hidden="false" customHeight="true" outlineLevel="0" collapsed="false">
      <c r="A7" s="6" t="s">
        <v>584</v>
      </c>
      <c r="B7" s="48" t="n">
        <v>0</v>
      </c>
      <c r="C7" s="48" t="n">
        <v>8</v>
      </c>
      <c r="D7" s="48" t="n">
        <v>80</v>
      </c>
      <c r="E7" s="47" t="n">
        <v>1850</v>
      </c>
      <c r="F7" s="46" t="n">
        <v>2.2</v>
      </c>
      <c r="G7" s="48" t="n">
        <v>700</v>
      </c>
      <c r="H7" s="47" t="n">
        <v>18000</v>
      </c>
      <c r="I7" s="47" t="n">
        <v>26000</v>
      </c>
      <c r="J7" s="48" t="n">
        <v>0</v>
      </c>
      <c r="K7" s="48" t="n">
        <v>3600</v>
      </c>
      <c r="L7" s="44" t="s">
        <v>585</v>
      </c>
    </row>
    <row r="8" customFormat="false" ht="21.75" hidden="false" customHeight="true" outlineLevel="0" collapsed="false">
      <c r="A8" s="6" t="s">
        <v>586</v>
      </c>
      <c r="B8" s="48" t="n">
        <v>2</v>
      </c>
      <c r="C8" s="48" t="n">
        <v>8</v>
      </c>
      <c r="D8" s="48" t="n">
        <v>141</v>
      </c>
      <c r="E8" s="47" t="n">
        <v>2400</v>
      </c>
      <c r="F8" s="46" t="n">
        <v>2.9</v>
      </c>
      <c r="G8" s="48" t="n">
        <v>700</v>
      </c>
      <c r="H8" s="47" t="n">
        <v>27500</v>
      </c>
      <c r="I8" s="47" t="n">
        <v>26000</v>
      </c>
      <c r="J8" s="48" t="n">
        <v>0</v>
      </c>
      <c r="K8" s="48" t="n">
        <v>3600</v>
      </c>
      <c r="L8" s="44" t="s">
        <v>587</v>
      </c>
    </row>
    <row r="9" customFormat="false" ht="15" hidden="false" customHeight="true" outlineLevel="0" collapsed="false">
      <c r="A9" s="6" t="s">
        <v>588</v>
      </c>
      <c r="B9" s="48" t="n">
        <v>4</v>
      </c>
      <c r="C9" s="48" t="n">
        <v>8</v>
      </c>
      <c r="D9" s="48" t="n">
        <v>192</v>
      </c>
      <c r="E9" s="47" t="n">
        <v>3000</v>
      </c>
      <c r="F9" s="46" t="n">
        <v>3.6</v>
      </c>
      <c r="G9" s="48" t="n">
        <v>1000</v>
      </c>
      <c r="H9" s="47" t="n">
        <v>33750</v>
      </c>
      <c r="I9" s="47" t="n">
        <v>28000</v>
      </c>
      <c r="J9" s="48" t="n">
        <v>0</v>
      </c>
      <c r="K9" s="48" t="n">
        <v>5200</v>
      </c>
      <c r="L9" s="44" t="s">
        <v>589</v>
      </c>
    </row>
    <row r="11" customFormat="false" ht="15" hidden="false" customHeight="true" outlineLevel="0" collapsed="false">
      <c r="A11" s="4" t="s">
        <v>590</v>
      </c>
    </row>
    <row r="12" customFormat="false" ht="15" hidden="false" customHeight="true" outlineLevel="0" collapsed="false">
      <c r="A12" s="3" t="s">
        <v>591</v>
      </c>
      <c r="B12" s="60" t="n">
        <v>0.8</v>
      </c>
      <c r="L12" s="44" t="s">
        <v>592</v>
      </c>
    </row>
    <row r="13" customFormat="false" ht="15" hidden="false" customHeight="true" outlineLevel="0" collapsed="false">
      <c r="A13" s="3" t="s">
        <v>593</v>
      </c>
      <c r="B13" s="60" t="n">
        <v>0.15</v>
      </c>
      <c r="L13" s="44"/>
    </row>
    <row r="14" customFormat="false" ht="15" hidden="false" customHeight="true" outlineLevel="0" collapsed="false">
      <c r="A14" s="3" t="s">
        <v>594</v>
      </c>
      <c r="B14" s="60" t="n">
        <v>0.3</v>
      </c>
      <c r="L14" s="44"/>
    </row>
    <row r="15" customFormat="false" ht="15" hidden="false" customHeight="true" outlineLevel="0" collapsed="false">
      <c r="A15" s="3" t="s">
        <v>595</v>
      </c>
      <c r="B15" s="60" t="n">
        <v>0.25</v>
      </c>
      <c r="L15" s="44"/>
    </row>
    <row r="16" customFormat="false" ht="15" hidden="false" customHeight="true" outlineLevel="0" collapsed="false">
      <c r="A16" s="3" t="s">
        <v>596</v>
      </c>
      <c r="B16" s="60" t="n">
        <v>0.2</v>
      </c>
      <c r="L16" s="44" t="s">
        <v>597</v>
      </c>
    </row>
    <row r="17" customFormat="false" ht="15" hidden="false" customHeight="true" outlineLevel="0" collapsed="false">
      <c r="A17" s="3" t="s">
        <v>598</v>
      </c>
      <c r="B17" s="48" t="n">
        <v>6</v>
      </c>
      <c r="L17" s="44"/>
    </row>
    <row r="18" customFormat="false" ht="15" hidden="false" customHeight="true" outlineLevel="0" collapsed="false">
      <c r="A18" s="3" t="s">
        <v>599</v>
      </c>
      <c r="B18" s="48" t="n">
        <v>0</v>
      </c>
      <c r="L18" s="44" t="s">
        <v>600</v>
      </c>
    </row>
    <row r="19" customFormat="false" ht="15" hidden="false" customHeight="true" outlineLevel="0" collapsed="false">
      <c r="A19" s="3" t="s">
        <v>601</v>
      </c>
      <c r="B19" s="47" t="n">
        <v>4500</v>
      </c>
      <c r="L19" s="44" t="s">
        <v>602</v>
      </c>
    </row>
    <row r="20" customFormat="false" ht="15" hidden="false" customHeight="true" outlineLevel="0" collapsed="false">
      <c r="A20" s="3" t="s">
        <v>603</v>
      </c>
      <c r="B20" s="47" t="n">
        <v>8000</v>
      </c>
      <c r="L20" s="66" t="s">
        <v>604</v>
      </c>
    </row>
    <row r="21" customFormat="false" ht="15" hidden="false" customHeight="true" outlineLevel="0" collapsed="false">
      <c r="A21" s="4" t="s">
        <v>605</v>
      </c>
    </row>
    <row r="22" customFormat="false" ht="15" hidden="false" customHeight="true" outlineLevel="0" collapsed="false">
      <c r="A22" s="3" t="s">
        <v>606</v>
      </c>
      <c r="B22" s="76" t="n">
        <f aca="false">Inputs!$B$74</f>
        <v>0.125</v>
      </c>
      <c r="L22" s="44" t="s">
        <v>607</v>
      </c>
    </row>
    <row r="23" customFormat="false" ht="15" hidden="false" customHeight="true" outlineLevel="0" collapsed="false">
      <c r="A23" s="3" t="s">
        <v>492</v>
      </c>
      <c r="B23" s="77" t="n">
        <f aca="false">Inputs!$B$34</f>
        <v>0.65</v>
      </c>
      <c r="L23" s="44" t="s">
        <v>608</v>
      </c>
    </row>
    <row r="24" customFormat="false" ht="15" hidden="false" customHeight="true" outlineLevel="0" collapsed="false">
      <c r="A24" s="3" t="s">
        <v>36</v>
      </c>
      <c r="B24" s="78" t="n">
        <f aca="false">Inputs!$B$35</f>
        <v>1.16</v>
      </c>
      <c r="L24" s="44" t="s">
        <v>608</v>
      </c>
    </row>
    <row r="25" customFormat="false" ht="15" hidden="false" customHeight="true" outlineLevel="0" collapsed="false">
      <c r="A25" s="3" t="s">
        <v>609</v>
      </c>
      <c r="B25" s="79" t="n">
        <f aca="false">Inputs!$B$52</f>
        <v>15000</v>
      </c>
      <c r="L25" s="44" t="s">
        <v>610</v>
      </c>
    </row>
    <row r="26" customFormat="false" ht="15" hidden="false" customHeight="true" outlineLevel="0" collapsed="false">
      <c r="A26" s="3" t="s">
        <v>496</v>
      </c>
      <c r="B26" s="79" t="n">
        <f aca="false">Inputs!$B$36</f>
        <v>598</v>
      </c>
      <c r="L26" s="56" t="s">
        <v>611</v>
      </c>
    </row>
    <row r="27" customFormat="false" ht="15" hidden="false" customHeight="true" outlineLevel="0" collapsed="false">
      <c r="A27" s="3" t="s">
        <v>539</v>
      </c>
      <c r="B27" s="78" t="n">
        <f aca="false">Inputs!$B$57</f>
        <v>0.25</v>
      </c>
      <c r="L27" s="44" t="s">
        <v>610</v>
      </c>
    </row>
    <row r="28" customFormat="false" ht="15" hidden="false" customHeight="true" outlineLevel="0" collapsed="false">
      <c r="A28" s="3" t="s">
        <v>612</v>
      </c>
      <c r="B28" s="57" t="n">
        <v>2</v>
      </c>
      <c r="L28" s="44" t="s">
        <v>613</v>
      </c>
    </row>
    <row r="29" customFormat="false" ht="15" hidden="false" customHeight="true" outlineLevel="0" collapsed="false">
      <c r="A29" s="3" t="s">
        <v>614</v>
      </c>
      <c r="B29" s="57" t="n">
        <v>4</v>
      </c>
      <c r="L29" s="44" t="s">
        <v>615</v>
      </c>
    </row>
    <row r="30" customFormat="false" ht="15" hidden="false" customHeight="true" outlineLevel="0" collapsed="false">
      <c r="A30" s="3" t="s">
        <v>616</v>
      </c>
      <c r="B30" s="57" t="n">
        <v>1.25</v>
      </c>
      <c r="L30" s="44" t="s">
        <v>617</v>
      </c>
    </row>
    <row r="31" customFormat="false" ht="15" hidden="false" customHeight="true" outlineLevel="0" collapsed="false">
      <c r="A31" s="3" t="s">
        <v>531</v>
      </c>
      <c r="B31" s="79" t="n">
        <f aca="false">Inputs!$B$53</f>
        <v>8000</v>
      </c>
      <c r="L31" s="44" t="s">
        <v>610</v>
      </c>
    </row>
    <row r="32" customFormat="false" ht="15" hidden="false" customHeight="true" outlineLevel="0" collapsed="false">
      <c r="A32" s="3" t="s">
        <v>477</v>
      </c>
      <c r="B32" s="77" t="n">
        <f aca="false">Inputs!$B$17</f>
        <v>0.012</v>
      </c>
      <c r="L32" s="44" t="s">
        <v>608</v>
      </c>
    </row>
    <row r="33" customFormat="false" ht="15" hidden="false" customHeight="true" outlineLevel="0" collapsed="false">
      <c r="A33" s="3" t="s">
        <v>618</v>
      </c>
      <c r="B33" s="79" t="n">
        <f aca="false">Inputs!$B$54</f>
        <v>10000</v>
      </c>
      <c r="L33" s="44" t="s">
        <v>610</v>
      </c>
    </row>
    <row r="34" customFormat="false" ht="15" hidden="false" customHeight="true" outlineLevel="0" collapsed="false">
      <c r="A34" s="3" t="s">
        <v>619</v>
      </c>
      <c r="B34" s="79" t="n">
        <f aca="false">Inputs!$B$41</f>
        <v>900</v>
      </c>
      <c r="L34" s="44" t="s">
        <v>608</v>
      </c>
    </row>
    <row r="35" customFormat="false" ht="15" hidden="false" customHeight="true" outlineLevel="0" collapsed="false">
      <c r="A35" s="3" t="s">
        <v>620</v>
      </c>
      <c r="B35" s="79" t="n">
        <f aca="false">Inputs!$B$55</f>
        <v>5000</v>
      </c>
      <c r="L35" s="44" t="s">
        <v>610</v>
      </c>
    </row>
    <row r="36" customFormat="false" ht="15" hidden="false" customHeight="true" outlineLevel="0" collapsed="false">
      <c r="A36" s="3" t="s">
        <v>621</v>
      </c>
      <c r="B36" s="47" t="n">
        <v>400</v>
      </c>
      <c r="L36" s="44"/>
    </row>
    <row r="37" customFormat="false" ht="15" hidden="false" customHeight="true" outlineLevel="0" collapsed="false">
      <c r="A37" s="3" t="s">
        <v>622</v>
      </c>
      <c r="B37" s="79" t="n">
        <f aca="false">C37*Inputs!$B$12</f>
        <v>6000</v>
      </c>
      <c r="C37" s="48" t="n">
        <v>80</v>
      </c>
      <c r="L37" s="44" t="s">
        <v>623</v>
      </c>
    </row>
    <row r="38" customFormat="false" ht="15" hidden="false" customHeight="true" outlineLevel="0" collapsed="false">
      <c r="A38" s="3" t="s">
        <v>624</v>
      </c>
      <c r="B38" s="48" t="n">
        <v>2</v>
      </c>
      <c r="L38" s="44" t="s">
        <v>625</v>
      </c>
    </row>
    <row r="39" customFormat="false" ht="15" hidden="false" customHeight="true" outlineLevel="0" collapsed="false">
      <c r="A39" s="3" t="s">
        <v>537</v>
      </c>
      <c r="B39" s="79" t="n">
        <f aca="false">Inputs!$B$56</f>
        <v>15000</v>
      </c>
      <c r="L39" s="44" t="s">
        <v>610</v>
      </c>
    </row>
    <row r="40" customFormat="false" ht="21.75" hidden="false" customHeight="true" outlineLevel="0" collapsed="false">
      <c r="A40" s="3" t="s">
        <v>626</v>
      </c>
      <c r="B40" s="47" t="n">
        <v>0</v>
      </c>
      <c r="L40" s="44" t="s">
        <v>627</v>
      </c>
    </row>
    <row r="41" customFormat="false" ht="15" hidden="false" customHeight="true" outlineLevel="0" collapsed="false">
      <c r="A41" s="3" t="s">
        <v>628</v>
      </c>
      <c r="B41" s="57" t="n">
        <v>0</v>
      </c>
      <c r="L41" s="44"/>
    </row>
    <row r="42" customFormat="false" ht="15" hidden="false" customHeight="true" outlineLevel="0" collapsed="false">
      <c r="A42" s="3" t="s">
        <v>498</v>
      </c>
      <c r="B42" s="77" t="n">
        <f aca="false">Inputs!$B$37</f>
        <v>0.12</v>
      </c>
      <c r="L42" s="44" t="s">
        <v>608</v>
      </c>
    </row>
    <row r="43" customFormat="false" ht="15" hidden="false" customHeight="true" outlineLevel="0" collapsed="false">
      <c r="A43" s="3" t="s">
        <v>467</v>
      </c>
      <c r="B43" s="79" t="n">
        <f aca="false">Inputs!$B$12</f>
        <v>75</v>
      </c>
      <c r="L43" s="44" t="s">
        <v>608</v>
      </c>
    </row>
    <row r="44" customFormat="false" ht="15" hidden="false" customHeight="true" outlineLevel="0" collapsed="false">
      <c r="A44" s="3" t="s">
        <v>629</v>
      </c>
      <c r="B44" s="60" t="n">
        <v>0.76</v>
      </c>
      <c r="L44" s="66" t="s">
        <v>630</v>
      </c>
    </row>
    <row r="45" customFormat="false" ht="15" hidden="false" customHeight="true" outlineLevel="0" collapsed="false">
      <c r="A45" s="4" t="s">
        <v>631</v>
      </c>
    </row>
    <row r="46" customFormat="false" ht="15" hidden="false" customHeight="true" outlineLevel="0" collapsed="false">
      <c r="A46" s="8" t="s">
        <v>572</v>
      </c>
      <c r="B46" s="8" t="s">
        <v>236</v>
      </c>
      <c r="C46" s="8" t="s">
        <v>237</v>
      </c>
      <c r="D46" s="8" t="s">
        <v>238</v>
      </c>
      <c r="E46" s="8" t="s">
        <v>239</v>
      </c>
      <c r="F46" s="8" t="s">
        <v>240</v>
      </c>
      <c r="G46" s="8" t="s">
        <v>241</v>
      </c>
    </row>
    <row r="47" customFormat="false" ht="15" hidden="false" customHeight="true" outlineLevel="0" collapsed="false">
      <c r="A47" s="80" t="str">
        <f aca="false">A7</f>
        <v>H100 80GB</v>
      </c>
      <c r="B47" s="48" t="n">
        <f aca="false">Scenarios!B8</f>
        <v>8</v>
      </c>
      <c r="C47" s="48" t="n">
        <v>0</v>
      </c>
      <c r="D47" s="48" t="n">
        <f aca="false">Scenarios!B9</f>
        <v>2</v>
      </c>
      <c r="E47" s="48" t="n">
        <v>0</v>
      </c>
      <c r="F47" s="48" t="n">
        <v>0</v>
      </c>
      <c r="G47" s="48" t="n">
        <v>0</v>
      </c>
    </row>
    <row r="48" customFormat="false" ht="15" hidden="false" customHeight="true" outlineLevel="0" collapsed="false">
      <c r="A48" s="80" t="str">
        <f aca="false">A8</f>
        <v>H200 141GB</v>
      </c>
      <c r="B48" s="48" t="n">
        <v>0</v>
      </c>
      <c r="C48" s="48" t="n">
        <v>0</v>
      </c>
      <c r="D48" s="48" t="n">
        <f aca="false">Scenarios!B10</f>
        <v>1</v>
      </c>
      <c r="E48" s="48" t="n">
        <v>0</v>
      </c>
      <c r="F48" s="48" t="n">
        <f aca="false">Scenarios!B11</f>
        <v>1</v>
      </c>
      <c r="G48" s="48" t="n">
        <v>0</v>
      </c>
    </row>
    <row r="49" customFormat="false" ht="15" hidden="false" customHeight="true" outlineLevel="0" collapsed="false">
      <c r="A49" s="80" t="str">
        <f aca="false">A9</f>
        <v>Next gen 192GB</v>
      </c>
      <c r="B49" s="48" t="n">
        <v>0</v>
      </c>
      <c r="C49" s="48" t="n">
        <v>0</v>
      </c>
      <c r="D49" s="48" t="n">
        <v>0</v>
      </c>
      <c r="E49" s="48" t="n">
        <v>0</v>
      </c>
      <c r="F49" s="48" t="n">
        <v>0</v>
      </c>
      <c r="G49" s="48" t="n">
        <v>0</v>
      </c>
    </row>
    <row r="51" customFormat="false" ht="15" hidden="false" customHeight="true" outlineLevel="0" collapsed="false">
      <c r="A51" s="5" t="s">
        <v>632</v>
      </c>
    </row>
    <row r="52" customFormat="false" ht="15" hidden="false" customHeight="true" outlineLevel="0" collapsed="false">
      <c r="A52" s="80" t="str">
        <f aca="false">A7</f>
        <v>H100 80GB</v>
      </c>
      <c r="B52" s="64" t="n">
        <f aca="false">IF(0&lt;$B$7,"",($C$7*$H$7+$I$7)*(1-$B$15)^(0-$B$7)+$B$20)</f>
        <v>178000</v>
      </c>
      <c r="C52" s="64" t="n">
        <f aca="false">IF(1&lt;$B$7,"",($C$7*$H$7+$I$7)*(1-$B$15)^(1-$B$7)+$B$20)</f>
        <v>135500</v>
      </c>
      <c r="D52" s="64" t="n">
        <f aca="false">IF(2&lt;$B$7,"",($C$7*$H$7+$I$7)*(1-$B$15)^(2-$B$7)+$B$20)</f>
        <v>103625</v>
      </c>
      <c r="E52" s="64" t="n">
        <f aca="false">IF(3&lt;$B$7,"",($C$7*$H$7+$I$7)*(1-$B$15)^(3-$B$7)+$B$20)</f>
        <v>79718.75</v>
      </c>
      <c r="F52" s="64" t="n">
        <f aca="false">IF(4&lt;$B$7,"",($C$7*$H$7+$I$7)*(1-$B$15)^(4-$B$7)+$B$20)</f>
        <v>61789.0625</v>
      </c>
      <c r="G52" s="64" t="n">
        <f aca="false">IF(5&lt;$B$7,"",($C$7*$H$7+$I$7)*(1-$B$15)^(5-$B$7)+$B$20)</f>
        <v>48341.796875</v>
      </c>
    </row>
    <row r="53" customFormat="false" ht="15" hidden="false" customHeight="true" outlineLevel="0" collapsed="false">
      <c r="A53" s="80" t="str">
        <f aca="false">A8</f>
        <v>H200 141GB</v>
      </c>
      <c r="B53" s="64" t="str">
        <f aca="false">IF(0&lt;$B$8,"",($C$8*$H$8+$I$8)*(1-$B$15)^(0-$B$8)+$B$20)</f>
        <v/>
      </c>
      <c r="C53" s="64" t="str">
        <f aca="false">IF(1&lt;$B$8,"",($C$8*$H$8+$I$8)*(1-$B$15)^(1-$B$8)+$B$20)</f>
        <v/>
      </c>
      <c r="D53" s="64" t="n">
        <f aca="false">IF(2&lt;$B$8,"",($C$8*$H$8+$I$8)*(1-$B$15)^(2-$B$8)+$B$20)</f>
        <v>254000</v>
      </c>
      <c r="E53" s="64" t="n">
        <f aca="false">IF(3&lt;$B$8,"",($C$8*$H$8+$I$8)*(1-$B$15)^(3-$B$8)+$B$20)</f>
        <v>192500</v>
      </c>
      <c r="F53" s="64" t="n">
        <f aca="false">IF(4&lt;$B$8,"",($C$8*$H$8+$I$8)*(1-$B$15)^(4-$B$8)+$B$20)</f>
        <v>146375</v>
      </c>
      <c r="G53" s="64" t="n">
        <f aca="false">IF(5&lt;$B$8,"",($C$8*$H$8+$I$8)*(1-$B$15)^(5-$B$8)+$B$20)</f>
        <v>111781.25</v>
      </c>
    </row>
    <row r="54" customFormat="false" ht="15" hidden="false" customHeight="true" outlineLevel="0" collapsed="false">
      <c r="A54" s="80" t="str">
        <f aca="false">A9</f>
        <v>Next gen 192GB</v>
      </c>
      <c r="B54" s="64" t="str">
        <f aca="false">IF(0&lt;$B$9,"",($C$9*$H$9+$I$9)*(1-$B$15)^(0-$B$9)+$B$20)</f>
        <v/>
      </c>
      <c r="C54" s="64" t="str">
        <f aca="false">IF(1&lt;$B$9,"",($C$9*$H$9+$I$9)*(1-$B$15)^(1-$B$9)+$B$20)</f>
        <v/>
      </c>
      <c r="D54" s="64" t="str">
        <f aca="false">IF(2&lt;$B$9,"",($C$9*$H$9+$I$9)*(1-$B$15)^(2-$B$9)+$B$20)</f>
        <v/>
      </c>
      <c r="E54" s="64" t="str">
        <f aca="false">IF(3&lt;$B$9,"",($C$9*$H$9+$I$9)*(1-$B$15)^(3-$B$9)+$B$20)</f>
        <v/>
      </c>
      <c r="F54" s="64" t="n">
        <f aca="false">IF(4&lt;$B$9,"",($C$9*$H$9+$I$9)*(1-$B$15)^(4-$B$9)+$B$20)</f>
        <v>306000</v>
      </c>
      <c r="G54" s="64" t="n">
        <f aca="false">IF(5&lt;$B$9,"",($C$9*$H$9+$I$9)*(1-$B$15)^(5-$B$9)+$B$20)</f>
        <v>231500</v>
      </c>
    </row>
    <row r="56" customFormat="false" ht="15" hidden="false" customHeight="true" outlineLevel="0" collapsed="false">
      <c r="A56" s="4" t="s">
        <v>633</v>
      </c>
    </row>
    <row r="57" customFormat="false" ht="15" hidden="false" customHeight="true" outlineLevel="0" collapsed="false">
      <c r="A57" s="80" t="str">
        <f aca="false">A7</f>
        <v>H100 80GB</v>
      </c>
      <c r="B57" s="51" t="n">
        <f aca="false">IF(0&lt;$B$7,0,IF($F$7=0,1,$B$12)*$E$7*$C$7*12*(1-$B$13)^(0-$B$7)+(1-IF($F$7=0,1,$B$12))*$F$7*Inputs!$B$14*Inputs!$B$15*(1-Inputs!$B$16)*$C$7*(1-$B$14)^(0-$B$7))</f>
        <v>155647.488</v>
      </c>
      <c r="C57" s="51" t="n">
        <f aca="false">IF(1&lt;$B$7,0,IF($F$7=0,1,$B$12)*$E$7*$C$7*12*(1-$B$13)^(1-$B$7)+(1-IF($F$7=0,1,$B$12))*$F$7*Inputs!$B$14*Inputs!$B$15*(1-Inputs!$B$16)*$C$7*(1-$B$14)^(1-$B$7))</f>
        <v>130265.2416</v>
      </c>
      <c r="D57" s="51" t="n">
        <f aca="false">IF(2&lt;$B$7,0,IF($F$7=0,1,$B$12)*$E$7*$C$7*12*(1-$B$13)^(2-$B$7)+(1-IF($F$7=0,1,$B$12))*$F$7*Inputs!$B$14*Inputs!$B$15*(1-Inputs!$B$16)*$C$7*(1-$B$14)^(2-$B$7))</f>
        <v>109300.86912</v>
      </c>
      <c r="E57" s="51" t="n">
        <f aca="false">IF(3&lt;$B$7,0,IF($F$7=0,1,$B$12)*$E$7*$C$7*12*(1-$B$13)^(3-$B$7)+(1-IF($F$7=0,1,$B$12))*$F$7*Inputs!$B$14*Inputs!$B$15*(1-Inputs!$B$16)*$C$7*(1-$B$14)^(3-$B$7))</f>
        <v>91908.528384</v>
      </c>
      <c r="F57" s="51" t="n">
        <f aca="false">IF(4&lt;$B$7,0,IF($F$7=0,1,$B$12)*$E$7*$C$7*12*(1-$B$13)^(4-$B$7)+(1-IF($F$7=0,1,$B$12))*$F$7*Inputs!$B$14*Inputs!$B$15*(1-Inputs!$B$16)*$C$7*(1-$B$14)^(4-$B$7))</f>
        <v>77424.2018688</v>
      </c>
      <c r="G57" s="51" t="n">
        <f aca="false">IF(5&lt;$B$7,0,IF($F$7=0,1,$B$12)*$E$7*$C$7*12*(1-$B$13)^(5-$B$7)+(1-IF($F$7=0,1,$B$12))*$F$7*Inputs!$B$14*Inputs!$B$15*(1-Inputs!$B$16)*$C$7*(1-$B$14)^(5-$B$7))</f>
        <v>65321.93850816</v>
      </c>
    </row>
    <row r="58" customFormat="false" ht="15" hidden="false" customHeight="true" outlineLevel="0" collapsed="false">
      <c r="A58" s="80" t="str">
        <f aca="false">A8</f>
        <v>H200 141GB</v>
      </c>
      <c r="B58" s="51" t="n">
        <f aca="false">IF(0&lt;$B$8,0,IF($F$8=0,1,$B$12)*$E$8*$C$8*12*(1-$B$13)^(0-$B$8)+(1-IF($F$8=0,1,$B$12))*$F$8*Inputs!$B$14*Inputs!$B$15*(1-Inputs!$B$16)*$C$8*(1-$B$14)^(0-$B$8))</f>
        <v>0</v>
      </c>
      <c r="C58" s="51" t="n">
        <f aca="false">IF(1&lt;$B$8,0,IF($F$8=0,1,$B$12)*$E$8*$C$8*12*(1-$B$13)^(1-$B$8)+(1-IF($F$8=0,1,$B$12))*$F$8*Inputs!$B$14*Inputs!$B$15*(1-Inputs!$B$16)*$C$8*(1-$B$14)^(1-$B$8))</f>
        <v>0</v>
      </c>
      <c r="D58" s="51" t="n">
        <f aca="false">IF(2&lt;$B$8,0,IF($F$8=0,1,$B$12)*$E$8*$C$8*12*(1-$B$13)^(2-$B$8)+(1-IF($F$8=0,1,$B$12))*$F$8*Inputs!$B$14*Inputs!$B$15*(1-Inputs!$B$16)*$C$8*(1-$B$14)^(2-$B$8))</f>
        <v>202204.416</v>
      </c>
      <c r="E58" s="51" t="n">
        <f aca="false">IF(3&lt;$B$8,0,IF($F$8=0,1,$B$12)*$E$8*$C$8*12*(1-$B$13)^(3-$B$8)+(1-IF($F$8=0,1,$B$12))*$F$8*Inputs!$B$14*Inputs!$B$15*(1-Inputs!$B$16)*$C$8*(1-$B$14)^(3-$B$8))</f>
        <v>169191.0912</v>
      </c>
      <c r="F58" s="51" t="n">
        <f aca="false">IF(4&lt;$B$8,0,IF($F$8=0,1,$B$12)*$E$8*$C$8*12*(1-$B$13)^(4-$B$8)+(1-IF($F$8=0,1,$B$12))*$F$8*Inputs!$B$14*Inputs!$B$15*(1-Inputs!$B$16)*$C$8*(1-$B$14)^(4-$B$8))</f>
        <v>141934.56384</v>
      </c>
      <c r="G58" s="51" t="n">
        <f aca="false">IF(5&lt;$B$8,0,IF($F$8=0,1,$B$12)*$E$8*$C$8*12*(1-$B$13)^(5-$B$8)+(1-IF($F$8=0,1,$B$12))*$F$8*Inputs!$B$14*Inputs!$B$15*(1-Inputs!$B$16)*$C$8*(1-$B$14)^(5-$B$8))</f>
        <v>119329.874688</v>
      </c>
    </row>
    <row r="59" customFormat="false" ht="15" hidden="false" customHeight="true" outlineLevel="0" collapsed="false">
      <c r="A59" s="80" t="str">
        <f aca="false">A9</f>
        <v>Next gen 192GB</v>
      </c>
      <c r="B59" s="51" t="n">
        <f aca="false">IF(0&lt;$B$9,0,IF($F$9=0,1,$B$12)*$E$9*$C$9*12*(1-$B$13)^(0-$B$9)+(1-IF($F$9=0,1,$B$12))*$F$9*Inputs!$B$14*Inputs!$B$15*(1-Inputs!$B$16)*$C$9*(1-$B$14)^(0-$B$9))</f>
        <v>0</v>
      </c>
      <c r="C59" s="51" t="n">
        <f aca="false">IF(1&lt;$B$9,0,IF($F$9=0,1,$B$12)*$E$9*$C$9*12*(1-$B$13)^(1-$B$9)+(1-IF($F$9=0,1,$B$12))*$F$9*Inputs!$B$14*Inputs!$B$15*(1-Inputs!$B$16)*$C$9*(1-$B$14)^(1-$B$9))</f>
        <v>0</v>
      </c>
      <c r="D59" s="51" t="n">
        <f aca="false">IF(2&lt;$B$9,0,IF($F$9=0,1,$B$12)*$E$9*$C$9*12*(1-$B$13)^(2-$B$9)+(1-IF($F$9=0,1,$B$12))*$F$9*Inputs!$B$14*Inputs!$B$15*(1-Inputs!$B$16)*$C$9*(1-$B$14)^(2-$B$9))</f>
        <v>0</v>
      </c>
      <c r="E59" s="51" t="n">
        <f aca="false">IF(3&lt;$B$9,0,IF($F$9=0,1,$B$12)*$E$9*$C$9*12*(1-$B$13)^(3-$B$9)+(1-IF($F$9=0,1,$B$12))*$F$9*Inputs!$B$14*Inputs!$B$15*(1-Inputs!$B$16)*$C$9*(1-$B$14)^(3-$B$9))</f>
        <v>0</v>
      </c>
      <c r="F59" s="51" t="n">
        <f aca="false">IF(4&lt;$B$9,0,IF($F$9=0,1,$B$12)*$E$9*$C$9*12*(1-$B$13)^(4-$B$9)+(1-IF($F$9=0,1,$B$12))*$F$9*Inputs!$B$14*Inputs!$B$15*(1-Inputs!$B$16)*$C$9*(1-$B$14)^(4-$B$9))</f>
        <v>252601.344</v>
      </c>
      <c r="G59" s="51" t="n">
        <f aca="false">IF(5&lt;$B$9,0,IF($F$9=0,1,$B$12)*$E$9*$C$9*12*(1-$B$13)^(5-$B$9)+(1-IF($F$9=0,1,$B$12))*$F$9*Inputs!$B$14*Inputs!$B$15*(1-Inputs!$B$16)*$C$9*(1-$B$14)^(5-$B$9))</f>
        <v>211380.9408</v>
      </c>
    </row>
    <row r="61" customFormat="false" ht="15" hidden="false" customHeight="true" outlineLevel="0" collapsed="false">
      <c r="A61" s="4" t="s">
        <v>634</v>
      </c>
    </row>
    <row r="62" customFormat="false" ht="15" hidden="false" customHeight="true" outlineLevel="0" collapsed="false">
      <c r="A62" s="80" t="str">
        <f aca="false">A7</f>
        <v>H100 80GB</v>
      </c>
      <c r="B62" s="51" t="n">
        <f aca="false">IF(0&lt;$B$7,0,IF((0-$B$7)&lt;$J$7,0,$B$18*$B$19*$C$7))</f>
        <v>0</v>
      </c>
      <c r="C62" s="51" t="n">
        <f aca="false">IF(1&lt;$B$7,0,IF((1-$B$7)&lt;$J$7,0,$B$18*$B$19*$C$7))</f>
        <v>0</v>
      </c>
      <c r="D62" s="51" t="n">
        <f aca="false">IF(2&lt;$B$7,0,IF((2-$B$7)&lt;$J$7,0,$B$18*$B$19*$C$7))</f>
        <v>0</v>
      </c>
      <c r="E62" s="51" t="n">
        <f aca="false">IF(3&lt;$B$7,0,IF((3-$B$7)&lt;$J$7,0,$B$18*$B$19*$C$7))</f>
        <v>0</v>
      </c>
      <c r="F62" s="51" t="n">
        <f aca="false">IF(4&lt;$B$7,0,IF((4-$B$7)&lt;$J$7,0,$B$18*$B$19*$C$7))</f>
        <v>0</v>
      </c>
      <c r="G62" s="51" t="n">
        <f aca="false">IF(5&lt;$B$7,0,IF((5-$B$7)&lt;$J$7,0,$B$18*$B$19*$C$7))</f>
        <v>0</v>
      </c>
    </row>
    <row r="63" customFormat="false" ht="15" hidden="false" customHeight="true" outlineLevel="0" collapsed="false">
      <c r="A63" s="80" t="str">
        <f aca="false">A8</f>
        <v>H200 141GB</v>
      </c>
      <c r="B63" s="51" t="n">
        <f aca="false">IF(0&lt;$B$8,0,IF((0-$B$8)&lt;$J$8,0,$B$18*$B$19*$C$8))</f>
        <v>0</v>
      </c>
      <c r="C63" s="51" t="n">
        <f aca="false">IF(1&lt;$B$8,0,IF((1-$B$8)&lt;$J$8,0,$B$18*$B$19*$C$8))</f>
        <v>0</v>
      </c>
      <c r="D63" s="51" t="n">
        <f aca="false">IF(2&lt;$B$8,0,IF((2-$B$8)&lt;$J$8,0,$B$18*$B$19*$C$8))</f>
        <v>0</v>
      </c>
      <c r="E63" s="51" t="n">
        <f aca="false">IF(3&lt;$B$8,0,IF((3-$B$8)&lt;$J$8,0,$B$18*$B$19*$C$8))</f>
        <v>0</v>
      </c>
      <c r="F63" s="51" t="n">
        <f aca="false">IF(4&lt;$B$8,0,IF((4-$B$8)&lt;$J$8,0,$B$18*$B$19*$C$8))</f>
        <v>0</v>
      </c>
      <c r="G63" s="51" t="n">
        <f aca="false">IF(5&lt;$B$8,0,IF((5-$B$8)&lt;$J$8,0,$B$18*$B$19*$C$8))</f>
        <v>0</v>
      </c>
    </row>
    <row r="64" customFormat="false" ht="15" hidden="false" customHeight="true" outlineLevel="0" collapsed="false">
      <c r="A64" s="80" t="str">
        <f aca="false">A9</f>
        <v>Next gen 192GB</v>
      </c>
      <c r="B64" s="51" t="n">
        <f aca="false">IF(0&lt;$B$9,0,IF((0-$B$9)&lt;$J$9,0,$B$18*$B$19*$C$9))</f>
        <v>0</v>
      </c>
      <c r="C64" s="51" t="n">
        <f aca="false">IF(1&lt;$B$9,0,IF((1-$B$9)&lt;$J$9,0,$B$18*$B$19*$C$9))</f>
        <v>0</v>
      </c>
      <c r="D64" s="51" t="n">
        <f aca="false">IF(2&lt;$B$9,0,IF((2-$B$9)&lt;$J$9,0,$B$18*$B$19*$C$9))</f>
        <v>0</v>
      </c>
      <c r="E64" s="51" t="n">
        <f aca="false">IF(3&lt;$B$9,0,IF((3-$B$9)&lt;$J$9,0,$B$18*$B$19*$C$9))</f>
        <v>0</v>
      </c>
      <c r="F64" s="51" t="n">
        <f aca="false">IF(4&lt;$B$9,0,IF((4-$B$9)&lt;$J$9,0,$B$18*$B$19*$C$9))</f>
        <v>0</v>
      </c>
      <c r="G64" s="51" t="n">
        <f aca="false">IF(5&lt;$B$9,0,IF((5-$B$9)&lt;$J$9,0,$B$18*$B$19*$C$9))</f>
        <v>0</v>
      </c>
    </row>
    <row r="66" customFormat="false" ht="15" hidden="false" customHeight="true" outlineLevel="0" collapsed="false">
      <c r="A66" s="4" t="s">
        <v>635</v>
      </c>
    </row>
    <row r="67" customFormat="false" ht="15" hidden="false" customHeight="true" outlineLevel="0" collapsed="false">
      <c r="A67" s="80" t="str">
        <f aca="false">A7</f>
        <v>H100 80GB</v>
      </c>
      <c r="B67" s="81" t="n">
        <f aca="false">SUM($B$47:B47)</f>
        <v>8</v>
      </c>
      <c r="C67" s="81" t="n">
        <f aca="false">SUM($B$47:C47)</f>
        <v>8</v>
      </c>
      <c r="D67" s="81" t="n">
        <f aca="false">SUM($B$47:D47)</f>
        <v>10</v>
      </c>
      <c r="E67" s="81" t="n">
        <f aca="false">SUM($B$47:E47)</f>
        <v>10</v>
      </c>
      <c r="F67" s="81" t="n">
        <f aca="false">SUM($B$47:F47)</f>
        <v>10</v>
      </c>
      <c r="G67" s="81" t="n">
        <f aca="false">SUM($B$47:G47)</f>
        <v>10</v>
      </c>
    </row>
    <row r="68" customFormat="false" ht="15" hidden="false" customHeight="true" outlineLevel="0" collapsed="false">
      <c r="A68" s="80" t="str">
        <f aca="false">A8</f>
        <v>H200 141GB</v>
      </c>
      <c r="B68" s="81" t="n">
        <f aca="false">SUM($B$48:B48)</f>
        <v>0</v>
      </c>
      <c r="C68" s="81" t="n">
        <f aca="false">SUM($B$48:C48)</f>
        <v>0</v>
      </c>
      <c r="D68" s="81" t="n">
        <f aca="false">SUM($B$48:D48)</f>
        <v>1</v>
      </c>
      <c r="E68" s="81" t="n">
        <f aca="false">SUM($B$48:E48)</f>
        <v>1</v>
      </c>
      <c r="F68" s="81" t="n">
        <f aca="false">SUM($B$48:F48)</f>
        <v>2</v>
      </c>
      <c r="G68" s="81" t="n">
        <f aca="false">SUM($B$48:G48)</f>
        <v>2</v>
      </c>
    </row>
    <row r="69" customFormat="false" ht="15" hidden="false" customHeight="true" outlineLevel="0" collapsed="false">
      <c r="A69" s="80" t="str">
        <f aca="false">A9</f>
        <v>Next gen 192GB</v>
      </c>
      <c r="B69" s="81" t="n">
        <f aca="false">SUM($B$49:B49)</f>
        <v>0</v>
      </c>
      <c r="C69" s="81" t="n">
        <f aca="false">SUM($B$49:C49)</f>
        <v>0</v>
      </c>
      <c r="D69" s="81" t="n">
        <f aca="false">SUM($B$49:D49)</f>
        <v>0</v>
      </c>
      <c r="E69" s="81" t="n">
        <f aca="false">SUM($B$49:E49)</f>
        <v>0</v>
      </c>
      <c r="F69" s="81" t="n">
        <f aca="false">SUM($B$49:F49)</f>
        <v>0</v>
      </c>
      <c r="G69" s="81" t="n">
        <f aca="false">SUM($B$49:G49)</f>
        <v>0</v>
      </c>
    </row>
    <row r="71" customFormat="false" ht="15" hidden="false" customHeight="true" outlineLevel="0" collapsed="false">
      <c r="A71" s="6" t="s">
        <v>636</v>
      </c>
      <c r="B71" s="82" t="n">
        <f aca="false">SUM(B67:B69)</f>
        <v>8</v>
      </c>
      <c r="C71" s="82" t="n">
        <f aca="false">SUM(C67:C69)</f>
        <v>8</v>
      </c>
      <c r="D71" s="82" t="n">
        <f aca="false">SUM(D67:D69)</f>
        <v>11</v>
      </c>
      <c r="E71" s="82" t="n">
        <f aca="false">SUM(E67:E69)</f>
        <v>11</v>
      </c>
      <c r="F71" s="82" t="n">
        <f aca="false">SUM(F67:F69)</f>
        <v>12</v>
      </c>
      <c r="G71" s="82" t="n">
        <f aca="false">SUM(G67:G69)</f>
        <v>12</v>
      </c>
    </row>
    <row r="72" customFormat="false" ht="15" hidden="false" customHeight="true" outlineLevel="0" collapsed="false">
      <c r="A72" s="3" t="s">
        <v>637</v>
      </c>
      <c r="B72" s="83" t="n">
        <f aca="false">B67*($C$7*$G$7+$K$7)/1000+B68*($C$8*$G$8+$K$8)/1000+B69*($C$9*$G$9+$K$9)/1000</f>
        <v>73.6</v>
      </c>
      <c r="C72" s="83" t="n">
        <f aca="false">C67*($C$7*$G$7+$K$7)/1000+C68*($C$8*$G$8+$K$8)/1000+C69*($C$9*$G$9+$K$9)/1000</f>
        <v>73.6</v>
      </c>
      <c r="D72" s="83" t="n">
        <f aca="false">D67*($C$7*$G$7+$K$7)/1000+D68*($C$8*$G$8+$K$8)/1000+D69*($C$9*$G$9+$K$9)/1000</f>
        <v>101.2</v>
      </c>
      <c r="E72" s="83" t="n">
        <f aca="false">E67*($C$7*$G$7+$K$7)/1000+E68*($C$8*$G$8+$K$8)/1000+E69*($C$9*$G$9+$K$9)/1000</f>
        <v>101.2</v>
      </c>
      <c r="F72" s="83" t="n">
        <f aca="false">F67*($C$7*$G$7+$K$7)/1000+F68*($C$8*$G$8+$K$8)/1000+F69*($C$9*$G$9+$K$9)/1000</f>
        <v>110.4</v>
      </c>
      <c r="G72" s="83" t="n">
        <f aca="false">G67*($C$7*$G$7+$K$7)/1000+G68*($C$8*$G$8+$K$8)/1000+G69*($C$9*$G$9+$K$9)/1000</f>
        <v>110.4</v>
      </c>
    </row>
    <row r="73" customFormat="false" ht="15" hidden="false" customHeight="true" outlineLevel="0" collapsed="false">
      <c r="A73" s="6" t="s">
        <v>638</v>
      </c>
      <c r="B73" s="81" t="n">
        <f aca="false">ROUNDUP(B71*(1-ServiceLines!B57)*$B$12/$B$30,0)</f>
        <v>5</v>
      </c>
      <c r="C73" s="81" t="n">
        <f aca="false">ROUNDUP(C71*(1-ServiceLines!C57)*$B$12/$B$30,0)</f>
        <v>5</v>
      </c>
      <c r="D73" s="81" t="n">
        <f aca="false">ROUNDUP(D71*(1-ServiceLines!D57)*$B$12/$B$30,0)</f>
        <v>7</v>
      </c>
      <c r="E73" s="81" t="n">
        <f aca="false">ROUNDUP(E71*(1-ServiceLines!E57)*$B$12/$B$30,0)</f>
        <v>7</v>
      </c>
      <c r="F73" s="81" t="n">
        <f aca="false">ROUNDUP(F71*(1-ServiceLines!F57)*$B$12/$B$30,0)</f>
        <v>8</v>
      </c>
      <c r="G73" s="81" t="n">
        <f aca="false">ROUNDUP(G71*(1-ServiceLines!G57)*$B$12/$B$30,0)</f>
        <v>7</v>
      </c>
    </row>
    <row r="75" customFormat="false" ht="15" hidden="false" customHeight="true" outlineLevel="0" collapsed="false">
      <c r="A75" s="4" t="s">
        <v>639</v>
      </c>
    </row>
    <row r="76" customFormat="false" ht="15" hidden="false" customHeight="true" outlineLevel="0" collapsed="false">
      <c r="A76" s="8" t="s">
        <v>640</v>
      </c>
      <c r="B76" s="8" t="s">
        <v>236</v>
      </c>
      <c r="C76" s="8" t="s">
        <v>237</v>
      </c>
      <c r="D76" s="8" t="s">
        <v>238</v>
      </c>
      <c r="E76" s="8" t="s">
        <v>239</v>
      </c>
      <c r="F76" s="8" t="s">
        <v>240</v>
      </c>
      <c r="G76" s="8" t="s">
        <v>241</v>
      </c>
    </row>
    <row r="77" customFormat="false" ht="15" hidden="false" customHeight="true" outlineLevel="0" collapsed="false">
      <c r="A77" s="3" t="s">
        <v>641</v>
      </c>
      <c r="B77" s="64" t="n">
        <f aca="false">B72*$B$44*$B$23*$B$24*8760*$B$22</f>
        <v>46182.43968</v>
      </c>
      <c r="C77" s="64" t="n">
        <f aca="false">C72*$B$44*$B$23*$B$24*8760*$B$22</f>
        <v>46182.43968</v>
      </c>
      <c r="D77" s="64" t="n">
        <f aca="false">D72*$B$44*$B$23*$B$24*8760*$B$22</f>
        <v>63500.85456</v>
      </c>
      <c r="E77" s="64" t="n">
        <f aca="false">E72*$B$44*$B$23*$B$24*8760*$B$22</f>
        <v>63500.85456</v>
      </c>
      <c r="F77" s="64" t="n">
        <f aca="false">F72*$B$44*$B$23*$B$24*8760*$B$22</f>
        <v>69273.65952</v>
      </c>
      <c r="G77" s="64" t="n">
        <f aca="false">G72*$B$44*$B$23*$B$24*8760*$B$22</f>
        <v>69273.65952</v>
      </c>
    </row>
    <row r="78" customFormat="false" ht="15" hidden="false" customHeight="true" outlineLevel="0" collapsed="false">
      <c r="A78" s="3" t="s">
        <v>642</v>
      </c>
      <c r="B78" s="51" t="n">
        <f aca="false">$B$25+MAX(B72,Inputs!$B$47)*$B$26</f>
        <v>81019.2</v>
      </c>
      <c r="C78" s="51" t="n">
        <f aca="false">$B$25+MAX(C72,Inputs!$B$47)*$B$26</f>
        <v>81019.2</v>
      </c>
      <c r="D78" s="51" t="n">
        <f aca="false">$B$25+MAX(D72,Inputs!$B$47)*$B$26</f>
        <v>81019.2</v>
      </c>
      <c r="E78" s="51" t="n">
        <f aca="false">$B$25+MAX(E72,Inputs!$B$47)*$B$26</f>
        <v>81019.2</v>
      </c>
      <c r="F78" s="51" t="n">
        <f aca="false">$B$25+MAX(F72,Inputs!$B$47)*$B$26</f>
        <v>81019.2</v>
      </c>
      <c r="G78" s="51" t="n">
        <f aca="false">$B$25+MAX(G72,Inputs!$B$47)*$B$26</f>
        <v>81019.2</v>
      </c>
    </row>
    <row r="79" customFormat="false" ht="15" hidden="false" customHeight="true" outlineLevel="0" collapsed="false">
      <c r="A79" s="3" t="s">
        <v>643</v>
      </c>
      <c r="B79" s="51" t="n">
        <f aca="false">($B$27*Inputs!$B$13+B71*$B$28*12+B73*$B$29*12)*$B$43</f>
        <v>66150</v>
      </c>
      <c r="C79" s="51" t="n">
        <f aca="false">($B$27*1800+C71*$B$28*12+C73*$B$29*12)*$B$43</f>
        <v>66150</v>
      </c>
      <c r="D79" s="51" t="n">
        <f aca="false">($B$27*1800+D71*$B$28*12+D73*$B$29*12)*$B$43</f>
        <v>78750</v>
      </c>
      <c r="E79" s="51" t="n">
        <f aca="false">($B$27*1800+E71*$B$28*12+E73*$B$29*12)*$B$43</f>
        <v>78750</v>
      </c>
      <c r="F79" s="51" t="n">
        <f aca="false">($B$27*1800+F71*$B$28*12+F73*$B$29*12)*$B$43</f>
        <v>84150</v>
      </c>
      <c r="G79" s="51" t="n">
        <f aca="false">($B$27*1800+G71*$B$28*12+G73*$B$29*12)*$B$43</f>
        <v>80550</v>
      </c>
    </row>
    <row r="80" customFormat="false" ht="15" hidden="false" customHeight="true" outlineLevel="0" collapsed="false">
      <c r="A80" s="3" t="s">
        <v>644</v>
      </c>
      <c r="B80" s="64" t="n">
        <f aca="false">$B$31+$B$32*(B67*($C$7*$H$7+$I$7+$B$20)+B68*($C$8*$H$8+$I$8+$B$20)+B69*($C$9*$H$9+$I$9+$B$20))+Inputs!$B$50*B91</f>
        <v>39799.582368</v>
      </c>
      <c r="C80" s="64" t="n">
        <f aca="false">$B$31+$B$32*(C67*($C$7*$H$7+$I$7+$B$20)+C68*($C$8*$H$8+$I$8+$B$20)+C69*($C$9*$H$9+$I$9+$B$20))+Inputs!$B$50*C91</f>
        <v>39706.7312576</v>
      </c>
      <c r="D80" s="64" t="n">
        <f aca="false">$B$31+$B$32*(D67*($C$7*$H$7+$I$7+$B$20)+D68*($C$8*$H$8+$I$8+$B$20)+D69*($C$9*$H$9+$I$9+$B$20))+Inputs!$B$50*D91</f>
        <v>51888.7491176727</v>
      </c>
      <c r="E80" s="64" t="n">
        <f aca="false">$B$31+$B$32*(E67*($C$7*$H$7+$I$7+$B$20)+E68*($C$8*$H$8+$I$8+$B$20)+E69*($C$9*$H$9+$I$9+$B$20))+Inputs!$B$50*E91</f>
        <v>52629.0539007127</v>
      </c>
      <c r="F80" s="64" t="n">
        <f aca="false">$B$31+$B$32*(F67*($C$7*$H$7+$I$7+$B$20)+F68*($C$8*$H$8+$I$8+$B$20)+F69*($C$9*$H$9+$I$9+$B$20))+Inputs!$B$50*F91</f>
        <v>58182.438201296</v>
      </c>
      <c r="G80" s="64" t="n">
        <f aca="false">$B$31+$B$32*(G67*($C$7*$H$7+$I$7+$B$20)+G68*($C$8*$H$8+$I$8+$B$20)+G69*($C$9*$H$9+$I$9+$B$20))+Inputs!$B$50*G91</f>
        <v>59156.2379664434</v>
      </c>
    </row>
    <row r="81" customFormat="false" ht="15" hidden="false" customHeight="true" outlineLevel="0" collapsed="false">
      <c r="A81" s="3" t="s">
        <v>645</v>
      </c>
      <c r="B81" s="51" t="n">
        <f aca="false">$B$33+$B$34*B73+Inputs!$B$51</f>
        <v>44500</v>
      </c>
      <c r="C81" s="51" t="n">
        <f aca="false">$B$33+$B$34*C73+Inputs!$B$51</f>
        <v>44500</v>
      </c>
      <c r="D81" s="51" t="n">
        <f aca="false">$B$33+$B$34*D73+Inputs!$B$51</f>
        <v>46300</v>
      </c>
      <c r="E81" s="51" t="n">
        <f aca="false">$B$33+$B$34*E73+Inputs!$B$51</f>
        <v>46300</v>
      </c>
      <c r="F81" s="51" t="n">
        <f aca="false">$B$33+$B$34*F73+Inputs!$B$51</f>
        <v>47200</v>
      </c>
      <c r="G81" s="51" t="n">
        <f aca="false">$B$33+$B$34*G73+Inputs!$B$51</f>
        <v>46300</v>
      </c>
    </row>
    <row r="82" customFormat="false" ht="15" hidden="false" customHeight="true" outlineLevel="0" collapsed="false">
      <c r="A82" s="3" t="s">
        <v>646</v>
      </c>
      <c r="B82" s="51" t="n">
        <f aca="false">$B$35+$B$36*B71</f>
        <v>8200</v>
      </c>
      <c r="C82" s="51" t="n">
        <f aca="false">$B$35+$B$36*C71</f>
        <v>8200</v>
      </c>
      <c r="D82" s="51" t="n">
        <f aca="false">$B$35+$B$36*D71</f>
        <v>9400</v>
      </c>
      <c r="E82" s="51" t="n">
        <f aca="false">$B$35+$B$36*E71</f>
        <v>9400</v>
      </c>
      <c r="F82" s="51" t="n">
        <f aca="false">$B$35+$B$36*F71</f>
        <v>9800</v>
      </c>
      <c r="G82" s="51" t="n">
        <f aca="false">$B$35+$B$36*G71</f>
        <v>9800</v>
      </c>
    </row>
    <row r="83" customFormat="false" ht="15" hidden="false" customHeight="true" outlineLevel="0" collapsed="false">
      <c r="A83" s="3" t="s">
        <v>647</v>
      </c>
      <c r="B83" s="51" t="n">
        <f aca="false">$B$37*B73/$B$38</f>
        <v>15000</v>
      </c>
      <c r="C83" s="51" t="n">
        <f aca="false">$B$37*C73/$B$38</f>
        <v>15000</v>
      </c>
      <c r="D83" s="51" t="n">
        <f aca="false">$B$37*D73/$B$38</f>
        <v>21000</v>
      </c>
      <c r="E83" s="51" t="n">
        <f aca="false">$B$37*E73/$B$38</f>
        <v>21000</v>
      </c>
      <c r="F83" s="51" t="n">
        <f aca="false">$B$37*F73/$B$38</f>
        <v>24000</v>
      </c>
      <c r="G83" s="51" t="n">
        <f aca="false">$B$37*G73/$B$38</f>
        <v>21000</v>
      </c>
    </row>
    <row r="84" customFormat="false" ht="15" hidden="false" customHeight="true" outlineLevel="0" collapsed="false">
      <c r="A84" s="3" t="s">
        <v>648</v>
      </c>
      <c r="B84" s="51" t="n">
        <f aca="false">$B$39</f>
        <v>15000</v>
      </c>
      <c r="C84" s="51" t="n">
        <f aca="false">$B$39</f>
        <v>15000</v>
      </c>
      <c r="D84" s="51" t="n">
        <f aca="false">$B$39</f>
        <v>15000</v>
      </c>
      <c r="E84" s="51" t="n">
        <f aca="false">$B$39</f>
        <v>15000</v>
      </c>
      <c r="F84" s="51" t="n">
        <f aca="false">$B$39</f>
        <v>15000</v>
      </c>
      <c r="G84" s="51" t="n">
        <f aca="false">$B$39</f>
        <v>15000</v>
      </c>
    </row>
    <row r="85" customFormat="false" ht="15" hidden="false" customHeight="true" outlineLevel="0" collapsed="false">
      <c r="A85" s="3" t="s">
        <v>649</v>
      </c>
      <c r="B85" s="51" t="n">
        <f aca="false">$B$40*$B$41</f>
        <v>0</v>
      </c>
      <c r="C85" s="51" t="n">
        <f aca="false">$B$40*$B$41</f>
        <v>0</v>
      </c>
      <c r="D85" s="51" t="n">
        <f aca="false">$B$40*$B$41</f>
        <v>0</v>
      </c>
      <c r="E85" s="51" t="n">
        <f aca="false">$B$40*$B$41</f>
        <v>0</v>
      </c>
      <c r="F85" s="51" t="n">
        <f aca="false">$B$40*$B$41</f>
        <v>0</v>
      </c>
      <c r="G85" s="51" t="n">
        <f aca="false">$B$40*$B$41</f>
        <v>0</v>
      </c>
    </row>
    <row r="86" customFormat="false" ht="15" hidden="false" customHeight="true" outlineLevel="0" collapsed="false">
      <c r="A86" s="3" t="s">
        <v>650</v>
      </c>
      <c r="B86" s="51" t="n">
        <f aca="false">B67*$C$7*$H$7*$B$42+B68*$C$8*$H$8*$B$42+B69*$C$9*$H$9*$B$42</f>
        <v>138240</v>
      </c>
      <c r="C86" s="51" t="n">
        <f aca="false">C67*$C$7*$H$7*$B$42+C68*$C$8*$H$8*$B$42+C69*$C$9*$H$9*$B$42</f>
        <v>138240</v>
      </c>
      <c r="D86" s="51" t="n">
        <f aca="false">D67*$C$7*$H$7*$B$42+D68*$C$8*$H$8*$B$42+D69*$C$9*$H$9*$B$42</f>
        <v>199200</v>
      </c>
      <c r="E86" s="51" t="n">
        <f aca="false">E67*$C$7*$H$7*$B$42+E68*$C$8*$H$8*$B$42+E69*$C$9*$H$9*$B$42</f>
        <v>199200</v>
      </c>
      <c r="F86" s="51" t="n">
        <f aca="false">F67*$C$7*$H$7*$B$42+F68*$C$8*$H$8*$B$42+F69*$C$9*$H$9*$B$42</f>
        <v>225600</v>
      </c>
      <c r="G86" s="51" t="n">
        <f aca="false">G67*$C$7*$H$7*$B$42+G68*$C$8*$H$8*$B$42+G69*$C$9*$H$9*$B$42</f>
        <v>225600</v>
      </c>
    </row>
    <row r="87" customFormat="false" ht="15" hidden="false" customHeight="true" outlineLevel="0" collapsed="false">
      <c r="A87" s="6" t="s">
        <v>651</v>
      </c>
      <c r="B87" s="19" t="n">
        <f aca="false">SUM(B77:B86)+B119</f>
        <v>464657.302048</v>
      </c>
      <c r="C87" s="19" t="n">
        <f aca="false">SUM(C77:C86)+C119</f>
        <v>462525.4349376</v>
      </c>
      <c r="D87" s="19" t="n">
        <f aca="false">SUM(D77:D86)+D119</f>
        <v>575880.286677673</v>
      </c>
      <c r="E87" s="19" t="n">
        <f aca="false">SUM(E77:E86)+E119</f>
        <v>573882.240460713</v>
      </c>
      <c r="F87" s="19" t="n">
        <f aca="false">SUM(F77:F86)+F119</f>
        <v>619567.141221296</v>
      </c>
      <c r="G87" s="19" t="n">
        <f aca="false">SUM(G77:G86)+G119</f>
        <v>612183.745486443</v>
      </c>
    </row>
    <row r="89" customFormat="false" ht="15" hidden="false" customHeight="true" outlineLevel="0" collapsed="false">
      <c r="A89" s="4" t="s">
        <v>652</v>
      </c>
    </row>
    <row r="90" customFormat="false" ht="15" hidden="false" customHeight="true" outlineLevel="0" collapsed="false">
      <c r="A90" s="8" t="s">
        <v>640</v>
      </c>
      <c r="B90" s="8" t="s">
        <v>236</v>
      </c>
      <c r="C90" s="8" t="s">
        <v>237</v>
      </c>
      <c r="D90" s="8" t="s">
        <v>238</v>
      </c>
      <c r="E90" s="8" t="s">
        <v>239</v>
      </c>
      <c r="F90" s="8" t="s">
        <v>240</v>
      </c>
      <c r="G90" s="8" t="s">
        <v>241</v>
      </c>
    </row>
    <row r="91" customFormat="false" ht="15" hidden="false" customHeight="true" outlineLevel="0" collapsed="false">
      <c r="A91" s="3" t="s">
        <v>653</v>
      </c>
      <c r="B91" s="51" t="n">
        <f aca="false">(B67*B57+B68*B58+B69*B59)*(1-ServiceLines!B57)*(1+Inputs!$B$42)+ServiceLines!B37</f>
        <v>1471158.2368</v>
      </c>
      <c r="C91" s="51" t="n">
        <f aca="false">(C67*C57+C68*C58+C69*C59)*(1-ServiceLines!C57)*(1+Inputs!$B$42)+ServiceLines!C37</f>
        <v>1461873.12576</v>
      </c>
      <c r="D91" s="51" t="n">
        <f aca="false">(D67*D57+D68*D58+D69*D59)*(1-ServiceLines!D57)*(1+Inputs!$B$42)+ServiceLines!D37</f>
        <v>1948074.91176727</v>
      </c>
      <c r="E91" s="51" t="n">
        <f aca="false">(E67*E57+E68*E58+E69*E59)*(1-ServiceLines!E57)*(1+Inputs!$B$42)+ServiceLines!E37</f>
        <v>2022105.39007127</v>
      </c>
      <c r="F91" s="51" t="n">
        <f aca="false">(F67*F57+F68*F58+F69*F59)*(1-ServiceLines!F57)*(1+Inputs!$B$42)+ServiceLines!F37</f>
        <v>2272643.8201296</v>
      </c>
      <c r="G91" s="51" t="n">
        <f aca="false">(G67*G57+G68*G58+G69*G59)*(1-ServiceLines!G57)*(1+Inputs!$B$42)+ServiceLines!G37</f>
        <v>2370023.79664434</v>
      </c>
    </row>
    <row r="92" customFormat="false" ht="15" hidden="false" customHeight="true" outlineLevel="0" collapsed="false">
      <c r="A92" s="3" t="s">
        <v>654</v>
      </c>
      <c r="B92" s="51" t="n">
        <f aca="false">-B87-ServiceLines!B46</f>
        <v>-485187.302048</v>
      </c>
      <c r="C92" s="51" t="n">
        <f aca="false">-C87-ServiceLines!C46</f>
        <v>-534009.9949376</v>
      </c>
      <c r="D92" s="51" t="n">
        <f aca="false">-D87-ServiceLines!D46</f>
        <v>-693694.846677673</v>
      </c>
      <c r="E92" s="51" t="n">
        <f aca="false">-E87-ServiceLines!E46</f>
        <v>-752721.360460713</v>
      </c>
      <c r="F92" s="51" t="n">
        <f aca="false">-F87-ServiceLines!F46</f>
        <v>-860336.261221296</v>
      </c>
      <c r="G92" s="51" t="n">
        <f aca="false">-G87-ServiceLines!G46</f>
        <v>-906647.425486443</v>
      </c>
    </row>
    <row r="93" customFormat="false" ht="15" hidden="false" customHeight="true" outlineLevel="0" collapsed="false">
      <c r="A93" s="3" t="s">
        <v>297</v>
      </c>
      <c r="B93" s="51" t="n">
        <f aca="false">-(B67*B62+B68*B63+B69*B64)</f>
        <v>-0</v>
      </c>
      <c r="C93" s="51" t="n">
        <f aca="false">-(C67*C62+C68*C63+C69*C64)</f>
        <v>-0</v>
      </c>
      <c r="D93" s="51" t="n">
        <f aca="false">-(D67*D62+D68*D63+D69*D64)</f>
        <v>-0</v>
      </c>
      <c r="E93" s="51" t="n">
        <f aca="false">-(E67*E62+E68*E63+E69*E64)</f>
        <v>-0</v>
      </c>
      <c r="F93" s="51" t="n">
        <f aca="false">-(F67*F62+F68*F63+F69*F64)</f>
        <v>-0</v>
      </c>
      <c r="G93" s="51" t="n">
        <f aca="false">-(G67*G62+G68*G63+G69*G64)</f>
        <v>-0</v>
      </c>
    </row>
    <row r="94" customFormat="false" ht="15" hidden="false" customHeight="true" outlineLevel="0" collapsed="false">
      <c r="A94" s="3" t="s">
        <v>655</v>
      </c>
      <c r="B94" s="51" t="n">
        <f aca="false">-(IF(B52="",0,B47*B52)+IF(B53="",0,B48*B53)+IF(B54="",0,B49*B54))-ServiceLines!B48</f>
        <v>-1424000</v>
      </c>
      <c r="C94" s="51" t="n">
        <f aca="false">-(IF(C52="",0,C47*C52)+IF(C53="",0,C48*C53)+IF(C54="",0,C49*C54))-ServiceLines!C48</f>
        <v>-10000</v>
      </c>
      <c r="D94" s="51" t="n">
        <f aca="false">-(IF(D52="",0,D47*D52)+IF(D53="",0,D48*D53)+IF(D54="",0,D49*D54))-ServiceLines!D48</f>
        <v>-461250</v>
      </c>
      <c r="E94" s="51" t="n">
        <f aca="false">-(IF(E52="",0,E47*E52)+IF(E53="",0,E48*E53)+IF(E54="",0,E49*E54))-ServiceLines!E48</f>
        <v>-10000</v>
      </c>
      <c r="F94" s="51" t="n">
        <f aca="false">-(IF(F52="",0,F47*F52)+IF(F53="",0,F48*F53)+IF(F54="",0,F49*F54))-ServiceLines!F48</f>
        <v>-146375</v>
      </c>
      <c r="G94" s="51" t="n">
        <f aca="false">-(IF(G52="",0,G47*G52)+IF(G53="",0,G48*G53)+IF(G54="",0,G49*G54))-ServiceLines!G48</f>
        <v>-10000</v>
      </c>
    </row>
    <row r="95" customFormat="false" ht="15" hidden="false" customHeight="true" outlineLevel="0" collapsed="false">
      <c r="A95" s="3" t="s">
        <v>656</v>
      </c>
      <c r="B95" s="51" t="n">
        <f aca="false">IF(0-$B$17&gt;=0,INDEX($B$47:$G$47,0-$B$17+1)*$B$52*$B$16,0)+IF(0-$B$17&gt;=0,INDEX($B$48:$G$48,0-$B$17+1)*$B$53*$B$16,0)+IF(0-$B$17&gt;=0,INDEX($B$49:$G$49,0-$B$17+1)*$B$54*$B$16,0)</f>
        <v>0</v>
      </c>
      <c r="C95" s="51" t="n">
        <f aca="false">IF(1-$B$17&gt;=0,INDEX($B$47:$G$47,1-$B$17+1)*$B$52*$B$16,0)+IF(1-$B$17&gt;=0,INDEX($B$48:$G$48,1-$B$17+1)*$B$53*$B$16,0)+IF(1-$B$17&gt;=0,INDEX($B$49:$G$49,1-$B$17+1)*$B$54*$B$16,0)</f>
        <v>0</v>
      </c>
      <c r="D95" s="51" t="n">
        <f aca="false">IF(2-$B$17&gt;=0,INDEX($B$47:$G$47,2-$B$17+1)*$B$52*$B$16,0)+IF(2-$B$17&gt;=0,INDEX($B$48:$G$48,2-$B$17+1)*$B$53*$B$16,0)+IF(2-$B$17&gt;=0,INDEX($B$49:$G$49,2-$B$17+1)*$B$54*$B$16,0)</f>
        <v>0</v>
      </c>
      <c r="E95" s="51" t="n">
        <f aca="false">IF(3-$B$17&gt;=0,INDEX($B$47:$G$47,3-$B$17+1)*$B$52*$B$16,0)+IF(3-$B$17&gt;=0,INDEX($B$48:$G$48,3-$B$17+1)*$B$53*$B$16,0)+IF(3-$B$17&gt;=0,INDEX($B$49:$G$49,3-$B$17+1)*$B$54*$B$16,0)</f>
        <v>0</v>
      </c>
      <c r="F95" s="51" t="n">
        <f aca="false">IF(4-$B$17&gt;=0,INDEX($B$47:$G$47,4-$B$17+1)*$B$52*$B$16,0)+IF(4-$B$17&gt;=0,INDEX($B$48:$G$48,4-$B$17+1)*$B$53*$B$16,0)+IF(4-$B$17&gt;=0,INDEX($B$49:$G$49,4-$B$17+1)*$B$54*$B$16,0)</f>
        <v>0</v>
      </c>
      <c r="G95" s="51" t="n">
        <f aca="false">IF(5-$B$17&gt;=0,INDEX($B$47:$G$47,5-$B$17+1)*$B$52*$B$16,0)+IF(5-$B$17&gt;=0,INDEX($B$48:$G$48,5-$B$17+1)*$B$53*$B$16,0)+IF(5-$B$17&gt;=0,INDEX($B$49:$G$49,5-$B$17+1)*$B$54*$B$16,0)</f>
        <v>0</v>
      </c>
    </row>
    <row r="96" customFormat="false" ht="15" hidden="false" customHeight="true" outlineLevel="0" collapsed="false">
      <c r="A96" s="6" t="s">
        <v>657</v>
      </c>
      <c r="B96" s="19" t="n">
        <f aca="false">B91+B92+B93+B94+B95</f>
        <v>-438029.065248</v>
      </c>
      <c r="C96" s="19" t="n">
        <f aca="false">C91+C92+C93+C94+C95</f>
        <v>917863.1308224</v>
      </c>
      <c r="D96" s="19" t="n">
        <f aca="false">D91+D92+D93+D94+D95</f>
        <v>793130.0650896</v>
      </c>
      <c r="E96" s="19" t="n">
        <f aca="false">E91+E92+E93+E94+E95</f>
        <v>1259384.02961056</v>
      </c>
      <c r="F96" s="19" t="n">
        <f aca="false">F91+F92+F93+F94+F95</f>
        <v>1265932.5589083</v>
      </c>
      <c r="G96" s="19" t="n">
        <f aca="false">G91+G92+G93+G94+G95</f>
        <v>1453376.3711579</v>
      </c>
    </row>
    <row r="97" customFormat="false" ht="15" hidden="false" customHeight="true" outlineLevel="0" collapsed="false">
      <c r="A97" s="6" t="s">
        <v>658</v>
      </c>
      <c r="B97" s="19" t="n">
        <f aca="false">B96</f>
        <v>-438029.065248</v>
      </c>
      <c r="C97" s="19" t="n">
        <f aca="false">B97+C96</f>
        <v>479834.0655744</v>
      </c>
      <c r="D97" s="19" t="n">
        <f aca="false">C97+D96</f>
        <v>1272964.130664</v>
      </c>
      <c r="E97" s="19" t="n">
        <f aca="false">D97+E96</f>
        <v>2532348.16027456</v>
      </c>
      <c r="F97" s="19" t="n">
        <f aca="false">E97+F96</f>
        <v>3798280.71918286</v>
      </c>
      <c r="G97" s="84" t="n">
        <f aca="false">F97+G96</f>
        <v>5251657.09034076</v>
      </c>
    </row>
    <row r="99" customFormat="false" ht="15" hidden="false" customHeight="true" outlineLevel="0" collapsed="false">
      <c r="A99" s="4" t="s">
        <v>659</v>
      </c>
    </row>
    <row r="100" customFormat="false" ht="15" hidden="false" customHeight="true" outlineLevel="0" collapsed="false">
      <c r="A100" s="8" t="s">
        <v>572</v>
      </c>
      <c r="B100" s="8" t="s">
        <v>660</v>
      </c>
      <c r="C100" s="8" t="s">
        <v>661</v>
      </c>
      <c r="D100" s="8" t="s">
        <v>662</v>
      </c>
      <c r="E100" s="8" t="s">
        <v>297</v>
      </c>
      <c r="F100" s="8" t="s">
        <v>663</v>
      </c>
      <c r="G100" s="8" t="s">
        <v>664</v>
      </c>
    </row>
    <row r="101" customFormat="false" ht="15" hidden="false" customHeight="true" outlineLevel="0" collapsed="false">
      <c r="A101" s="80" t="str">
        <f aca="false">A7</f>
        <v>H100 80GB</v>
      </c>
      <c r="B101" s="51" t="n">
        <f aca="false">IF(B52="",0,B47*B52)+IF(C52="",0,C47*C52)+IF(D52="",0,D47*D52)+IF(E52="",0,E47*E52)+IF(F52="",0,F47*F52)+IF(G52="",0,G47*G52)</f>
        <v>1631250</v>
      </c>
      <c r="C101" s="51" t="n">
        <f aca="false">(B67*B57*(1-ServiceLines!B57)+C67*C57*(1-ServiceLines!C57)+D67*D57*(1-ServiceLines!D57)+E67*E57*(1-ServiceLines!E57)+F67*F57*(1-ServiceLines!F57)+G67*G57*(1-ServiceLines!G57))*(1+Inputs!$B$42)</f>
        <v>6222038.2690999</v>
      </c>
      <c r="D101" s="85" t="n">
        <f aca="false">IF(B101=0,"",C101/B101)</f>
        <v>3.81427633354783</v>
      </c>
      <c r="E101" s="51" t="n">
        <f aca="false">B67*B62+C67*C62+D67*D62+E67*E62+F67*F62+G67*G62</f>
        <v>0</v>
      </c>
      <c r="F101" s="83" t="n">
        <f aca="false">G67*($C$7*$G$7+$K$7)/1000</f>
        <v>92</v>
      </c>
      <c r="G101" s="51" t="n">
        <f aca="false">IF(F101=0,"",G67*G57/F101)</f>
        <v>7100.2107074087</v>
      </c>
    </row>
    <row r="102" customFormat="false" ht="15" hidden="false" customHeight="true" outlineLevel="0" collapsed="false">
      <c r="A102" s="80" t="str">
        <f aca="false">A8</f>
        <v>H200 141GB</v>
      </c>
      <c r="B102" s="51" t="n">
        <f aca="false">IF(B53="",0,B48*B53)+IF(C53="",0,C48*C53)+IF(D53="",0,D48*D53)+IF(E53="",0,E48*E53)+IF(F53="",0,F48*F53)+IF(G53="",0,G48*G53)</f>
        <v>400375</v>
      </c>
      <c r="C102" s="51" t="n">
        <f aca="false">(B68*B58*(1-ServiceLines!B57)+C68*C58*(1-ServiceLines!C57)+D68*D58*(1-ServiceLines!D57)+E68*E58*(1-ServiceLines!E57)+F68*F58*(1-ServiceLines!F57)+G68*G58*(1-ServiceLines!G57))*(1+Inputs!$B$42)</f>
        <v>948383.572072582</v>
      </c>
      <c r="D102" s="85" t="n">
        <f aca="false">IF(B102=0,"",C102/B102)</f>
        <v>2.36873823808325</v>
      </c>
      <c r="E102" s="51" t="n">
        <f aca="false">B68*B63+C68*C63+D68*D63+E68*E63+F68*F63+G68*G63</f>
        <v>0</v>
      </c>
      <c r="F102" s="83" t="n">
        <f aca="false">G68*($C$8*$G$8+$K$8)/1000</f>
        <v>18.4</v>
      </c>
      <c r="G102" s="51" t="n">
        <f aca="false">IF(F102=0,"",G68*G58/F102)</f>
        <v>12970.6385530435</v>
      </c>
    </row>
    <row r="103" customFormat="false" ht="15" hidden="false" customHeight="true" outlineLevel="0" collapsed="false">
      <c r="A103" s="80" t="str">
        <f aca="false">A9</f>
        <v>Next gen 192GB</v>
      </c>
      <c r="B103" s="51" t="n">
        <f aca="false">IF(B54="",0,B49*B54)+IF(C54="",0,C49*C54)+IF(D54="",0,D49*D54)+IF(E54="",0,E49*E54)+IF(F54="",0,F49*F54)+IF(G54="",0,G49*G54)</f>
        <v>0</v>
      </c>
      <c r="C103" s="51" t="n">
        <f aca="false">(B69*B59*(1-ServiceLines!B57)+C69*C59*(1-ServiceLines!C57)+D69*D59*(1-ServiceLines!D57)+E69*E59*(1-ServiceLines!E57)+F69*F59*(1-ServiceLines!F57)+G69*G59*(1-ServiceLines!G57))*(1+Inputs!$B$42)</f>
        <v>0</v>
      </c>
      <c r="D103" s="85" t="str">
        <f aca="false">IF(B103=0,"",C103/B103)</f>
        <v/>
      </c>
      <c r="E103" s="51" t="n">
        <f aca="false">B69*B64+C69*C64+D69*D64+E69*E64+F69*F64+G69*G64</f>
        <v>0</v>
      </c>
      <c r="F103" s="83" t="n">
        <f aca="false">G69*($C$9*$G$9+$K$9)/1000</f>
        <v>0</v>
      </c>
      <c r="G103" s="51" t="str">
        <f aca="false">IF(F103=0,"",G69*G59/F103)</f>
        <v/>
      </c>
    </row>
    <row r="105" customFormat="false" ht="15" hidden="false" customHeight="true" outlineLevel="0" collapsed="false">
      <c r="A105" s="4" t="s">
        <v>665</v>
      </c>
    </row>
    <row r="106" customFormat="false" ht="15" hidden="false" customHeight="true" outlineLevel="0" collapsed="false">
      <c r="A106" s="3" t="s">
        <v>666</v>
      </c>
      <c r="B106" s="51" t="n">
        <f aca="false">SUM(B87:G87)-SUM(B93:G93)-SUM(B94:G94)-SUM(B95:G95)</f>
        <v>5370321.15083172</v>
      </c>
    </row>
    <row r="107" customFormat="false" ht="15" hidden="false" customHeight="true" outlineLevel="0" collapsed="false">
      <c r="A107" s="3" t="s">
        <v>667</v>
      </c>
      <c r="B107" s="81" t="n">
        <f aca="false">SUM(B67:G67)*$C$7*8760+SUM(B68:G68)*$C$8*8760+SUM(B69:G69)*$C$9*8760</f>
        <v>4344960</v>
      </c>
    </row>
    <row r="108" customFormat="false" ht="15" hidden="false" customHeight="true" outlineLevel="0" collapsed="false">
      <c r="A108" s="6" t="s">
        <v>668</v>
      </c>
      <c r="B108" s="86" t="n">
        <f aca="false">B106/B107</f>
        <v>1.23598862839513</v>
      </c>
    </row>
    <row r="109" customFormat="false" ht="15" hidden="false" customHeight="true" outlineLevel="0" collapsed="false">
      <c r="A109" s="6" t="s">
        <v>669</v>
      </c>
      <c r="B109" s="51" t="n">
        <f aca="false">B106/(SUM(B71:G71)*12)</f>
        <v>7218.17358982759</v>
      </c>
    </row>
    <row r="110" customFormat="false" ht="15" hidden="false" customHeight="true" outlineLevel="0" collapsed="false">
      <c r="A110" s="3" t="s">
        <v>205</v>
      </c>
      <c r="B110" s="51" t="n">
        <f aca="false">SUM(B91:G91)</f>
        <v>11545879.2811725</v>
      </c>
    </row>
    <row r="111" customFormat="false" ht="15" hidden="false" customHeight="true" outlineLevel="0" collapsed="false">
      <c r="A111" s="6" t="s">
        <v>670</v>
      </c>
      <c r="B111" s="87" t="n">
        <f aca="false">B110/B106</f>
        <v>2.14994205316461</v>
      </c>
    </row>
    <row r="113" customFormat="false" ht="15" hidden="false" customHeight="true" outlineLevel="0" collapsed="false">
      <c r="A113" s="4" t="s">
        <v>671</v>
      </c>
    </row>
    <row r="114" customFormat="false" ht="15" hidden="false" customHeight="true" outlineLevel="0" collapsed="false">
      <c r="A114" s="8" t="s">
        <v>640</v>
      </c>
      <c r="B114" s="8" t="s">
        <v>236</v>
      </c>
      <c r="C114" s="8" t="s">
        <v>237</v>
      </c>
      <c r="D114" s="8" t="s">
        <v>238</v>
      </c>
      <c r="E114" s="8" t="s">
        <v>239</v>
      </c>
      <c r="F114" s="8" t="s">
        <v>240</v>
      </c>
      <c r="G114" s="8" t="s">
        <v>241</v>
      </c>
    </row>
    <row r="115" customFormat="false" ht="15" hidden="false" customHeight="true" outlineLevel="0" collapsed="false">
      <c r="A115" s="3" t="s">
        <v>672</v>
      </c>
      <c r="B115" s="51" t="n">
        <f aca="false">-(B$94*MAX(1-Inputs!$B$78*0,Inputs!$B$79))</f>
        <v>1424000</v>
      </c>
      <c r="C115" s="51" t="n">
        <f aca="false">-(B$94*MAX(1-Inputs!$B$78*1,Inputs!$B$79)+C$94*MAX(1-Inputs!$B$78*0,Inputs!$B$79))</f>
        <v>1149200</v>
      </c>
      <c r="D115" s="51" t="n">
        <f aca="false">-(B$94*MAX(1-Inputs!$B$78*2,Inputs!$B$79)+C$94*MAX(1-Inputs!$B$78*1,Inputs!$B$79)+D$94*MAX(1-Inputs!$B$78*0,Inputs!$B$79))</f>
        <v>1323650</v>
      </c>
      <c r="E115" s="51" t="n">
        <f aca="false">-(B$94*MAX(1-Inputs!$B$78*3,Inputs!$B$79)+C$94*MAX(1-Inputs!$B$78*2,Inputs!$B$79)+D$94*MAX(1-Inputs!$B$78*1,Inputs!$B$79)+E$94*MAX(1-Inputs!$B$78*0,Inputs!$B$79))</f>
        <v>954600</v>
      </c>
      <c r="F115" s="51" t="n">
        <f aca="false">-(B$94*MAX(1-Inputs!$B$78*4,Inputs!$B$79)+C$94*MAX(1-Inputs!$B$78*3,Inputs!$B$79)+D$94*MAX(1-Inputs!$B$78*2,Inputs!$B$79)+E$94*MAX(1-Inputs!$B$78*1,Inputs!$B$79)+F$94*MAX(1-Inputs!$B$78*0,Inputs!$B$79))</f>
        <v>719925</v>
      </c>
      <c r="G115" s="51" t="n">
        <f aca="false">-(B$94*MAX(1-Inputs!$B$78*5,Inputs!$B$79)+C$94*MAX(1-Inputs!$B$78*4,Inputs!$B$79)+D$94*MAX(1-Inputs!$B$78*3,Inputs!$B$79)+E$94*MAX(1-Inputs!$B$78*2,Inputs!$B$79)+F$94*MAX(1-Inputs!$B$78*1,Inputs!$B$79)+G$94*MAX(1-Inputs!$B$78*0,Inputs!$B$79))</f>
        <v>604400</v>
      </c>
    </row>
    <row r="116" customFormat="false" ht="15" hidden="false" customHeight="true" outlineLevel="0" collapsed="false">
      <c r="A116" s="3" t="s">
        <v>673</v>
      </c>
      <c r="B116" s="51" t="n">
        <f aca="false">B115*Inputs!$B$77/1000</f>
        <v>21132.16</v>
      </c>
      <c r="C116" s="51" t="n">
        <f aca="false">C115*Inputs!$B$77/1000</f>
        <v>17054.128</v>
      </c>
      <c r="D116" s="51" t="n">
        <f aca="false">D115*Inputs!$B$77/1000</f>
        <v>19642.966</v>
      </c>
      <c r="E116" s="51" t="n">
        <f aca="false">E115*Inputs!$B$77/1000</f>
        <v>14166.264</v>
      </c>
      <c r="F116" s="51" t="n">
        <f aca="false">F115*Inputs!$B$77/1000</f>
        <v>10683.687</v>
      </c>
      <c r="G116" s="51" t="n">
        <f aca="false">G115*Inputs!$B$77/1000</f>
        <v>8969.296</v>
      </c>
    </row>
    <row r="117" customFormat="false" ht="15" hidden="false" customHeight="true" outlineLevel="0" collapsed="false">
      <c r="A117" s="3" t="s">
        <v>674</v>
      </c>
      <c r="B117" s="51" t="n">
        <f aca="false">-B116*Inputs!$B$80</f>
        <v>-21132.16</v>
      </c>
      <c r="C117" s="51" t="n">
        <f aca="false">-C116*Inputs!$B$80</f>
        <v>-17054.128</v>
      </c>
      <c r="D117" s="51" t="n">
        <f aca="false">-D116*Inputs!$B$80</f>
        <v>-19642.966</v>
      </c>
      <c r="E117" s="51" t="n">
        <f aca="false">-E116*Inputs!$B$80</f>
        <v>-14166.264</v>
      </c>
      <c r="F117" s="51" t="n">
        <f aca="false">-F116*Inputs!$B$80</f>
        <v>-10683.687</v>
      </c>
      <c r="G117" s="51" t="n">
        <f aca="false">-G116*Inputs!$B$80</f>
        <v>-8969.296</v>
      </c>
    </row>
    <row r="118" customFormat="false" ht="15" hidden="false" customHeight="true" outlineLevel="0" collapsed="false">
      <c r="A118" s="3" t="s">
        <v>675</v>
      </c>
      <c r="B118" s="51" t="n">
        <f aca="false">-B117*(1-Inputs!$B$81)*Inputs!$B$82</f>
        <v>10566.08</v>
      </c>
      <c r="C118" s="51" t="n">
        <f aca="false">-C117*(1-Inputs!$B$81)*Inputs!$B$82</f>
        <v>8527.064</v>
      </c>
      <c r="D118" s="51" t="n">
        <f aca="false">-D117*(1-Inputs!$B$81)*Inputs!$B$82</f>
        <v>9821.483</v>
      </c>
      <c r="E118" s="51" t="n">
        <f aca="false">-E117*(1-Inputs!$B$81)*Inputs!$B$82</f>
        <v>7083.132</v>
      </c>
      <c r="F118" s="51" t="n">
        <f aca="false">-F117*(1-Inputs!$B$81)*Inputs!$B$82</f>
        <v>5341.8435</v>
      </c>
      <c r="G118" s="51" t="n">
        <f aca="false">-G117*(1-Inputs!$B$81)*Inputs!$B$82</f>
        <v>4484.648</v>
      </c>
    </row>
    <row r="119" customFormat="false" ht="15" hidden="false" customHeight="true" outlineLevel="0" collapsed="false">
      <c r="A119" s="3" t="s">
        <v>676</v>
      </c>
      <c r="B119" s="51" t="n">
        <f aca="false">SUM(B116:B118)</f>
        <v>10566.08</v>
      </c>
      <c r="C119" s="51" t="n">
        <f aca="false">SUM(C116:C118)</f>
        <v>8527.064</v>
      </c>
      <c r="D119" s="51" t="n">
        <f aca="false">SUM(D116:D118)</f>
        <v>9821.483</v>
      </c>
      <c r="E119" s="51" t="n">
        <f aca="false">SUM(E116:E118)</f>
        <v>7083.132</v>
      </c>
      <c r="F119" s="51" t="n">
        <f aca="false">SUM(F116:F118)</f>
        <v>5341.8435</v>
      </c>
      <c r="G119" s="51" t="n">
        <f aca="false">SUM(G116:G118)</f>
        <v>4484.648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5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58"/>
    <col collapsed="false" customWidth="true" hidden="false" outlineLevel="0" max="7" min="2" style="1" width="13"/>
    <col collapsed="false" customWidth="true" hidden="false" outlineLevel="0" max="8" min="8" style="1" width="90"/>
  </cols>
  <sheetData>
    <row r="1" customFormat="false" ht="15.75" hidden="false" customHeight="true" outlineLevel="0" collapsed="false">
      <c r="A1" s="2" t="s">
        <v>677</v>
      </c>
    </row>
    <row r="2" customFormat="false" ht="15" hidden="false" customHeight="true" outlineLevel="0" collapsed="false">
      <c r="A2" s="3" t="s">
        <v>678</v>
      </c>
    </row>
    <row r="3" customFormat="false" ht="15" hidden="false" customHeight="true" outlineLevel="0" collapsed="false">
      <c r="A3" s="3" t="s">
        <v>679</v>
      </c>
    </row>
    <row r="5" customFormat="false" ht="15" hidden="false" customHeight="true" outlineLevel="0" collapsed="false">
      <c r="A5" s="6" t="s">
        <v>680</v>
      </c>
    </row>
    <row r="6" customFormat="false" ht="15" hidden="false" customHeight="true" outlineLevel="0" collapsed="false">
      <c r="A6" s="3" t="s">
        <v>681</v>
      </c>
      <c r="B6" s="46" t="n">
        <v>20</v>
      </c>
      <c r="H6" s="66" t="s">
        <v>682</v>
      </c>
    </row>
    <row r="7" customFormat="false" ht="15" hidden="false" customHeight="true" outlineLevel="0" collapsed="false">
      <c r="A7" s="3" t="s">
        <v>683</v>
      </c>
      <c r="B7" s="46" t="n">
        <v>2</v>
      </c>
      <c r="H7" s="66" t="s">
        <v>684</v>
      </c>
    </row>
    <row r="8" customFormat="false" ht="15" hidden="false" customHeight="true" outlineLevel="0" collapsed="false">
      <c r="A8" s="3" t="s">
        <v>685</v>
      </c>
      <c r="B8" s="48" t="n">
        <v>2000000</v>
      </c>
      <c r="H8" s="66" t="s">
        <v>686</v>
      </c>
    </row>
    <row r="9" customFormat="false" ht="15" hidden="false" customHeight="true" outlineLevel="0" collapsed="false">
      <c r="A9" s="3" t="s">
        <v>687</v>
      </c>
      <c r="B9" s="48" t="n">
        <v>3600000</v>
      </c>
      <c r="H9" s="66" t="s">
        <v>688</v>
      </c>
    </row>
    <row r="10" customFormat="false" ht="15" hidden="false" customHeight="true" outlineLevel="0" collapsed="false">
      <c r="A10" s="3" t="s">
        <v>689</v>
      </c>
      <c r="B10" s="60" t="n">
        <v>0.4</v>
      </c>
      <c r="H10" s="66" t="s">
        <v>690</v>
      </c>
    </row>
    <row r="11" customFormat="false" ht="15" hidden="false" customHeight="true" outlineLevel="0" collapsed="false">
      <c r="A11" s="3" t="s">
        <v>691</v>
      </c>
      <c r="B11" s="88" t="n">
        <v>0.05</v>
      </c>
      <c r="H11" s="66" t="s">
        <v>692</v>
      </c>
    </row>
    <row r="12" customFormat="false" ht="15" hidden="false" customHeight="true" outlineLevel="0" collapsed="false">
      <c r="A12" s="3" t="s">
        <v>693</v>
      </c>
      <c r="B12" s="48" t="n">
        <v>256</v>
      </c>
      <c r="H12" s="66" t="s">
        <v>694</v>
      </c>
    </row>
    <row r="13" customFormat="false" ht="15" hidden="false" customHeight="true" outlineLevel="0" collapsed="false">
      <c r="A13" s="3" t="s">
        <v>695</v>
      </c>
      <c r="B13" s="60" t="n">
        <v>0.3</v>
      </c>
      <c r="H13" s="66" t="s">
        <v>696</v>
      </c>
    </row>
    <row r="14" customFormat="false" ht="15" hidden="false" customHeight="true" outlineLevel="0" collapsed="false">
      <c r="A14" s="3" t="s">
        <v>697</v>
      </c>
      <c r="B14" s="47" t="n">
        <v>10000</v>
      </c>
      <c r="H14" s="66" t="s">
        <v>698</v>
      </c>
    </row>
    <row r="15" customFormat="false" ht="15" hidden="false" customHeight="true" outlineLevel="0" collapsed="false">
      <c r="A15" s="3" t="s">
        <v>699</v>
      </c>
      <c r="B15" s="67" t="n">
        <v>0.8</v>
      </c>
      <c r="H15" s="66" t="s">
        <v>696</v>
      </c>
    </row>
    <row r="16" customFormat="false" ht="15" hidden="false" customHeight="true" outlineLevel="0" collapsed="false">
      <c r="A16" s="3" t="s">
        <v>700</v>
      </c>
      <c r="B16" s="47" t="n">
        <v>3000</v>
      </c>
      <c r="H16" s="66" t="s">
        <v>701</v>
      </c>
    </row>
    <row r="17" customFormat="false" ht="15" hidden="false" customHeight="true" outlineLevel="0" collapsed="false">
      <c r="A17" s="3" t="s">
        <v>702</v>
      </c>
      <c r="B17" s="47" t="n">
        <v>25000</v>
      </c>
      <c r="H17" s="66" t="s">
        <v>703</v>
      </c>
    </row>
    <row r="18" customFormat="false" ht="15" hidden="false" customHeight="true" outlineLevel="0" collapsed="false">
      <c r="A18" s="3" t="s">
        <v>704</v>
      </c>
      <c r="B18" s="47" t="n">
        <v>110</v>
      </c>
      <c r="H18" s="66" t="s">
        <v>705</v>
      </c>
    </row>
    <row r="19" customFormat="false" ht="15" hidden="false" customHeight="true" outlineLevel="0" collapsed="false">
      <c r="A19" s="3" t="s">
        <v>706</v>
      </c>
      <c r="B19" s="48" t="n">
        <v>143</v>
      </c>
      <c r="H19" s="66" t="s">
        <v>707</v>
      </c>
    </row>
    <row r="20" customFormat="false" ht="15" hidden="false" customHeight="true" outlineLevel="0" collapsed="false">
      <c r="A20" s="3" t="s">
        <v>708</v>
      </c>
      <c r="B20" s="60" t="n">
        <v>0.5</v>
      </c>
      <c r="H20" s="66" t="s">
        <v>696</v>
      </c>
    </row>
    <row r="21" customFormat="false" ht="15" hidden="false" customHeight="true" outlineLevel="0" collapsed="false">
      <c r="A21" s="3" t="s">
        <v>709</v>
      </c>
      <c r="B21" s="47" t="n">
        <v>1500</v>
      </c>
      <c r="H21" s="66" t="s">
        <v>710</v>
      </c>
    </row>
    <row r="22" customFormat="false" ht="15" hidden="false" customHeight="true" outlineLevel="0" collapsed="false">
      <c r="A22" s="3" t="s">
        <v>711</v>
      </c>
      <c r="B22" s="60" t="n">
        <v>0.6</v>
      </c>
      <c r="H22" s="66" t="s">
        <v>696</v>
      </c>
    </row>
    <row r="23" customFormat="false" ht="15" hidden="false" customHeight="true" outlineLevel="0" collapsed="false">
      <c r="A23" s="3" t="s">
        <v>712</v>
      </c>
      <c r="B23" s="89" t="n">
        <f aca="false">Inputs!$B$42</f>
        <v>0.15</v>
      </c>
    </row>
    <row r="24" customFormat="false" ht="15" hidden="false" customHeight="true" outlineLevel="0" collapsed="false">
      <c r="A24" s="3" t="s">
        <v>713</v>
      </c>
      <c r="B24" s="90" t="n">
        <v>0.7</v>
      </c>
    </row>
    <row r="25" customFormat="false" ht="15" hidden="false" customHeight="true" outlineLevel="0" collapsed="false">
      <c r="A25" s="1" t="s">
        <v>714</v>
      </c>
      <c r="B25" s="69" t="n">
        <v>2</v>
      </c>
    </row>
    <row r="26" customFormat="false" ht="15" hidden="false" customHeight="true" outlineLevel="0" collapsed="false">
      <c r="A26" s="6" t="s">
        <v>715</v>
      </c>
      <c r="B26" s="6" t="s">
        <v>236</v>
      </c>
      <c r="C26" s="6" t="s">
        <v>237</v>
      </c>
      <c r="D26" s="6" t="s">
        <v>238</v>
      </c>
      <c r="E26" s="6" t="s">
        <v>239</v>
      </c>
      <c r="F26" s="6" t="s">
        <v>240</v>
      </c>
      <c r="G26" s="6" t="s">
        <v>241</v>
      </c>
    </row>
    <row r="27" customFormat="false" ht="15" hidden="false" customHeight="true" outlineLevel="0" collapsed="false">
      <c r="A27" s="3" t="s">
        <v>716</v>
      </c>
      <c r="B27" s="91" t="n">
        <f aca="false">MIN(B31,B52/$B$8)</f>
        <v>200</v>
      </c>
      <c r="C27" s="91" t="n">
        <f aca="false">MIN(C31,C52/$B$8)</f>
        <v>600</v>
      </c>
      <c r="D27" s="91" t="n">
        <f aca="false">MIN(D31,D52/$B$8)</f>
        <v>1200</v>
      </c>
      <c r="E27" s="91" t="n">
        <f aca="false">MIN(E31,E52/$B$8)</f>
        <v>2000</v>
      </c>
      <c r="F27" s="91" t="n">
        <f aca="false">MIN(F31,F52/$B$8)</f>
        <v>2800</v>
      </c>
      <c r="G27" s="91" t="n">
        <f aca="false">MIN(G31,G52/$B$8)</f>
        <v>3500</v>
      </c>
      <c r="H27" s="66" t="s">
        <v>717</v>
      </c>
    </row>
    <row r="28" customFormat="false" ht="15" hidden="false" customHeight="true" outlineLevel="0" collapsed="false">
      <c r="A28" s="3" t="s">
        <v>718</v>
      </c>
      <c r="B28" s="48" t="n">
        <v>0</v>
      </c>
      <c r="C28" s="48" t="n">
        <v>1</v>
      </c>
      <c r="D28" s="48" t="n">
        <v>1</v>
      </c>
      <c r="E28" s="48" t="n">
        <v>2</v>
      </c>
      <c r="F28" s="48" t="n">
        <v>2</v>
      </c>
      <c r="G28" s="48" t="n">
        <v>3</v>
      </c>
      <c r="H28" s="66" t="s">
        <v>696</v>
      </c>
    </row>
    <row r="29" customFormat="false" ht="15" hidden="false" customHeight="true" outlineLevel="0" collapsed="false">
      <c r="A29" s="3" t="s">
        <v>719</v>
      </c>
      <c r="B29" s="48" t="n">
        <v>1</v>
      </c>
      <c r="C29" s="48" t="n">
        <v>3</v>
      </c>
      <c r="D29" s="48" t="n">
        <v>4</v>
      </c>
      <c r="E29" s="48" t="n">
        <v>5</v>
      </c>
      <c r="F29" s="48" t="n">
        <v>6</v>
      </c>
      <c r="G29" s="48" t="n">
        <v>6</v>
      </c>
      <c r="H29" s="66" t="s">
        <v>696</v>
      </c>
    </row>
    <row r="30" customFormat="false" ht="15" hidden="false" customHeight="true" outlineLevel="0" collapsed="false">
      <c r="A30" s="3" t="s">
        <v>720</v>
      </c>
      <c r="B30" s="83" t="n">
        <f aca="false">0</f>
        <v>0</v>
      </c>
      <c r="C30" s="83" t="n">
        <f aca="false">$B$20*SUM($B$29:B29)</f>
        <v>0.5</v>
      </c>
      <c r="D30" s="83" t="n">
        <f aca="false">$B$20*SUM($B$29:C29)</f>
        <v>2</v>
      </c>
      <c r="E30" s="83" t="n">
        <f aca="false">$B$20*SUM($B$29:D29)</f>
        <v>4</v>
      </c>
      <c r="F30" s="83" t="n">
        <f aca="false">$B$20*SUM($B$29:E29)</f>
        <v>6.5</v>
      </c>
      <c r="G30" s="83" t="n">
        <f aca="false">$B$20*SUM($B$29:F29)</f>
        <v>9.5</v>
      </c>
      <c r="H30" s="66" t="s">
        <v>721</v>
      </c>
    </row>
    <row r="31" customFormat="false" ht="15" hidden="false" customHeight="true" outlineLevel="0" collapsed="false">
      <c r="A31" s="3" t="s">
        <v>722</v>
      </c>
      <c r="B31" s="92" t="n">
        <v>200</v>
      </c>
      <c r="C31" s="92" t="n">
        <v>600</v>
      </c>
      <c r="D31" s="92" t="n">
        <v>1200</v>
      </c>
      <c r="E31" s="92" t="n">
        <v>2000</v>
      </c>
      <c r="F31" s="92" t="n">
        <v>2800</v>
      </c>
      <c r="G31" s="92" t="n">
        <v>3500</v>
      </c>
      <c r="H31" s="66" t="s">
        <v>723</v>
      </c>
    </row>
    <row r="32" customFormat="false" ht="15" hidden="false" customHeight="true" outlineLevel="0" collapsed="false">
      <c r="A32" s="6" t="s">
        <v>724</v>
      </c>
    </row>
    <row r="33" customFormat="false" ht="15" hidden="false" customHeight="true" outlineLevel="0" collapsed="false">
      <c r="A33" s="3" t="s">
        <v>725</v>
      </c>
      <c r="B33" s="64" t="n">
        <f aca="false">B27*$B$6*12*(1+$B$23)</f>
        <v>55200</v>
      </c>
      <c r="C33" s="64" t="n">
        <f aca="false">C27*$B$6*12*(1+$B$23)</f>
        <v>165600</v>
      </c>
      <c r="D33" s="64" t="n">
        <f aca="false">D27*$B$6*12*(1+$B$23)</f>
        <v>331200</v>
      </c>
      <c r="E33" s="64" t="n">
        <f aca="false">E27*$B$6*12*(1+$B$23)</f>
        <v>552000</v>
      </c>
      <c r="F33" s="64" t="n">
        <f aca="false">F27*$B$6*12*(1+$B$23)</f>
        <v>772800</v>
      </c>
      <c r="G33" s="64" t="n">
        <f aca="false">G27*$B$6*12*(1+$B$23)</f>
        <v>966000</v>
      </c>
    </row>
    <row r="34" customFormat="false" ht="15" hidden="false" customHeight="true" outlineLevel="0" collapsed="false">
      <c r="A34" s="3" t="s">
        <v>252</v>
      </c>
      <c r="B34" s="64" t="n">
        <f aca="false">B28*$B$12*8760*$B$13*$B$11*(1+$B$23)</f>
        <v>0</v>
      </c>
      <c r="C34" s="64" t="n">
        <f aca="false">C28*$B$12*8760*$B$13*$B$11*(1+$B$23)</f>
        <v>38684.16</v>
      </c>
      <c r="D34" s="64" t="n">
        <f aca="false">D28*$B$12*8760*$B$13*$B$11*(1+$B$23)</f>
        <v>38684.16</v>
      </c>
      <c r="E34" s="64" t="n">
        <f aca="false">E28*$B$12*8760*$B$13*$B$11*(1+$B$23)</f>
        <v>77368.32</v>
      </c>
      <c r="F34" s="64" t="n">
        <f aca="false">F28*$B$12*8760*$B$13*$B$11*(1+$B$23)</f>
        <v>77368.32</v>
      </c>
      <c r="G34" s="64" t="n">
        <f aca="false">G28*$B$12*8760*$B$13*$B$11*(1+$B$23)</f>
        <v>116052.48</v>
      </c>
    </row>
    <row r="35" customFormat="false" ht="15" hidden="false" customHeight="true" outlineLevel="0" collapsed="false">
      <c r="A35" s="3" t="s">
        <v>726</v>
      </c>
      <c r="B35" s="64" t="n">
        <f aca="false">B29*$B$17*(1+$B$23)</f>
        <v>28750</v>
      </c>
      <c r="C35" s="64" t="n">
        <f aca="false">C29*$B$17*(1+$B$23)</f>
        <v>86250</v>
      </c>
      <c r="D35" s="64" t="n">
        <f aca="false">D29*$B$17*(1+$B$23)</f>
        <v>115000</v>
      </c>
      <c r="E35" s="64" t="n">
        <f aca="false">E29*$B$17*(1+$B$23)</f>
        <v>143750</v>
      </c>
      <c r="F35" s="64" t="n">
        <f aca="false">F29*$B$17*(1+$B$23)</f>
        <v>172500</v>
      </c>
      <c r="G35" s="64" t="n">
        <f aca="false">G29*$B$17*(1+$B$23)</f>
        <v>172500</v>
      </c>
    </row>
    <row r="36" customFormat="false" ht="15" hidden="false" customHeight="true" outlineLevel="0" collapsed="false">
      <c r="A36" s="3" t="s">
        <v>727</v>
      </c>
      <c r="B36" s="64" t="n">
        <f aca="false">B30*$B$21*12*(1+$B$23)</f>
        <v>0</v>
      </c>
      <c r="C36" s="64" t="n">
        <f aca="false">C30*$B$21*12*(1+$B$23)</f>
        <v>10350</v>
      </c>
      <c r="D36" s="64" t="n">
        <f aca="false">D30*$B$21*12*(1+$B$23)</f>
        <v>41400</v>
      </c>
      <c r="E36" s="64" t="n">
        <f aca="false">E30*$B$21*12*(1+$B$23)</f>
        <v>82800</v>
      </c>
      <c r="F36" s="64" t="n">
        <f aca="false">F30*$B$21*12*(1+$B$23)</f>
        <v>134550</v>
      </c>
      <c r="G36" s="64" t="n">
        <f aca="false">G30*$B$21*12*(1+$B$23)</f>
        <v>196650</v>
      </c>
    </row>
    <row r="37" customFormat="false" ht="15" hidden="false" customHeight="true" outlineLevel="0" collapsed="false">
      <c r="A37" s="6" t="s">
        <v>728</v>
      </c>
      <c r="B37" s="19" t="n">
        <f aca="false">SUM(B33:B36)</f>
        <v>83950</v>
      </c>
      <c r="C37" s="19" t="n">
        <f aca="false">SUM(C33:C36)</f>
        <v>300884.16</v>
      </c>
      <c r="D37" s="19" t="n">
        <f aca="false">SUM(D33:D36)</f>
        <v>526284.16</v>
      </c>
      <c r="E37" s="19" t="n">
        <f aca="false">SUM(E33:E36)</f>
        <v>855918.32</v>
      </c>
      <c r="F37" s="19" t="n">
        <f aca="false">SUM(F33:F36)</f>
        <v>1157218.32</v>
      </c>
      <c r="G37" s="19" t="n">
        <f aca="false">SUM(G33:G36)</f>
        <v>1451202.48</v>
      </c>
    </row>
    <row r="39" customFormat="false" ht="15" hidden="false" customHeight="true" outlineLevel="0" collapsed="false">
      <c r="A39" s="6" t="s">
        <v>729</v>
      </c>
    </row>
    <row r="40" customFormat="false" ht="15" hidden="false" customHeight="true" outlineLevel="0" collapsed="false">
      <c r="A40" s="3" t="s">
        <v>730</v>
      </c>
      <c r="B40" s="64" t="n">
        <f aca="false">B27*$B$7*12</f>
        <v>4800</v>
      </c>
      <c r="C40" s="64" t="n">
        <f aca="false">C27*$B$7*12</f>
        <v>14400</v>
      </c>
      <c r="D40" s="64" t="n">
        <f aca="false">D27*$B$7*12</f>
        <v>28800</v>
      </c>
      <c r="E40" s="64" t="n">
        <f aca="false">E27*$B$7*12</f>
        <v>48000</v>
      </c>
      <c r="F40" s="64" t="n">
        <f aca="false">F27*$B$7*12</f>
        <v>67200</v>
      </c>
      <c r="G40" s="64" t="n">
        <f aca="false">G27*$B$7*12</f>
        <v>84000</v>
      </c>
    </row>
    <row r="41" customFormat="false" ht="15" hidden="false" customHeight="true" outlineLevel="0" collapsed="false">
      <c r="A41" s="3" t="s">
        <v>731</v>
      </c>
      <c r="B41" s="64" t="n">
        <f aca="false">B28*$B$15*8760*Inputs!$B$35*Inputs!$B$74</f>
        <v>0</v>
      </c>
      <c r="C41" s="64" t="n">
        <f aca="false">C28*$B$15*8760*Inputs!$B$35*Inputs!$B$74</f>
        <v>1016.16</v>
      </c>
      <c r="D41" s="64" t="n">
        <f aca="false">D28*$B$15*8760*Inputs!$B$35*Inputs!$B$74</f>
        <v>1016.16</v>
      </c>
      <c r="E41" s="64" t="n">
        <f aca="false">E28*$B$15*8760*Inputs!$B$35*Inputs!$B$74</f>
        <v>2032.32</v>
      </c>
      <c r="F41" s="64" t="n">
        <f aca="false">F28*$B$15*8760*Inputs!$B$35*Inputs!$B$74</f>
        <v>2032.32</v>
      </c>
      <c r="G41" s="64" t="n">
        <f aca="false">G28*$B$15*8760*Inputs!$B$35*Inputs!$B$74</f>
        <v>3048.48</v>
      </c>
    </row>
    <row r="42" customFormat="false" ht="15" hidden="false" customHeight="true" outlineLevel="0" collapsed="false">
      <c r="A42" s="3" t="s">
        <v>732</v>
      </c>
      <c r="B42" s="64" t="n">
        <f aca="false">B28*$B$15*Inputs!$B$36</f>
        <v>0</v>
      </c>
      <c r="C42" s="64" t="n">
        <f aca="false">C28*$B$15*Inputs!$B$36</f>
        <v>478.4</v>
      </c>
      <c r="D42" s="64" t="n">
        <f aca="false">D28*$B$15*Inputs!$B$36</f>
        <v>478.4</v>
      </c>
      <c r="E42" s="64" t="n">
        <f aca="false">E28*$B$15*Inputs!$B$36</f>
        <v>956.8</v>
      </c>
      <c r="F42" s="64" t="n">
        <f aca="false">F28*$B$15*Inputs!$B$36</f>
        <v>956.8</v>
      </c>
      <c r="G42" s="64" t="n">
        <f aca="false">G28*$B$15*Inputs!$B$36</f>
        <v>1435.2</v>
      </c>
    </row>
    <row r="43" customFormat="false" ht="15" hidden="false" customHeight="true" outlineLevel="0" collapsed="false">
      <c r="A43" s="3" t="s">
        <v>733</v>
      </c>
      <c r="B43" s="64" t="n">
        <f aca="false">B28*$B$16</f>
        <v>0</v>
      </c>
      <c r="C43" s="64" t="n">
        <f aca="false">C28*$B$16</f>
        <v>3000</v>
      </c>
      <c r="D43" s="64" t="n">
        <f aca="false">D28*$B$16</f>
        <v>3000</v>
      </c>
      <c r="E43" s="64" t="n">
        <f aca="false">E28*$B$16</f>
        <v>6000</v>
      </c>
      <c r="F43" s="64" t="n">
        <f aca="false">F28*$B$16</f>
        <v>6000</v>
      </c>
      <c r="G43" s="64" t="n">
        <f aca="false">G28*$B$16</f>
        <v>9000</v>
      </c>
    </row>
    <row r="44" customFormat="false" ht="15" hidden="false" customHeight="true" outlineLevel="0" collapsed="false">
      <c r="A44" s="3" t="s">
        <v>734</v>
      </c>
      <c r="B44" s="64" t="n">
        <f aca="false">B29*$B$19*$B$18</f>
        <v>15730</v>
      </c>
      <c r="C44" s="64" t="n">
        <f aca="false">C29*$B$19*$B$18</f>
        <v>47190</v>
      </c>
      <c r="D44" s="64" t="n">
        <f aca="false">D29*$B$19*$B$18</f>
        <v>62920</v>
      </c>
      <c r="E44" s="64" t="n">
        <f aca="false">E29*$B$19*$B$18</f>
        <v>78650</v>
      </c>
      <c r="F44" s="64" t="n">
        <f aca="false">F29*$B$19*$B$18</f>
        <v>94380</v>
      </c>
      <c r="G44" s="64" t="n">
        <f aca="false">G29*$B$19*$B$18</f>
        <v>94380</v>
      </c>
    </row>
    <row r="45" customFormat="false" ht="15" hidden="false" customHeight="true" outlineLevel="0" collapsed="false">
      <c r="A45" s="3" t="s">
        <v>735</v>
      </c>
      <c r="B45" s="64" t="n">
        <f aca="false">B30*$B$21*12*$B$22</f>
        <v>0</v>
      </c>
      <c r="C45" s="64" t="n">
        <f aca="false">C30*$B$21*12*$B$22</f>
        <v>5400</v>
      </c>
      <c r="D45" s="64" t="n">
        <f aca="false">D30*$B$21*12*$B$22</f>
        <v>21600</v>
      </c>
      <c r="E45" s="64" t="n">
        <f aca="false">E30*$B$21*12*$B$22</f>
        <v>43200</v>
      </c>
      <c r="F45" s="64" t="n">
        <f aca="false">F30*$B$21*12*$B$22</f>
        <v>70200</v>
      </c>
      <c r="G45" s="64" t="n">
        <f aca="false">G30*$B$21*12*$B$22</f>
        <v>102600</v>
      </c>
    </row>
    <row r="46" customFormat="false" ht="15" hidden="false" customHeight="true" outlineLevel="0" collapsed="false">
      <c r="A46" s="6" t="s">
        <v>736</v>
      </c>
      <c r="B46" s="19" t="n">
        <f aca="false">SUM(B40:B45)</f>
        <v>20530</v>
      </c>
      <c r="C46" s="19" t="n">
        <f aca="false">SUM(C40:C45)</f>
        <v>71484.56</v>
      </c>
      <c r="D46" s="19" t="n">
        <f aca="false">SUM(D40:D45)</f>
        <v>117814.56</v>
      </c>
      <c r="E46" s="19" t="n">
        <f aca="false">SUM(E40:E45)</f>
        <v>178839.12</v>
      </c>
      <c r="F46" s="19" t="n">
        <f aca="false">SUM(F40:F45)</f>
        <v>240769.12</v>
      </c>
      <c r="G46" s="19" t="n">
        <f aca="false">SUM(G40:G45)</f>
        <v>294463.68</v>
      </c>
    </row>
    <row r="48" customFormat="false" ht="15" hidden="false" customHeight="true" outlineLevel="0" collapsed="false">
      <c r="A48" s="3" t="s">
        <v>737</v>
      </c>
      <c r="B48" s="64" t="n">
        <f aca="false">B28*$B$14</f>
        <v>0</v>
      </c>
      <c r="C48" s="64" t="n">
        <f aca="false">MAX(0,C28-B28)*$B$14</f>
        <v>10000</v>
      </c>
      <c r="D48" s="64" t="n">
        <f aca="false">MAX(0,D28-C28)*$B$14</f>
        <v>0</v>
      </c>
      <c r="E48" s="64" t="n">
        <f aca="false">MAX(0,E28-D28)*$B$14</f>
        <v>10000</v>
      </c>
      <c r="F48" s="64" t="n">
        <f aca="false">MAX(0,F28-E28)*$B$14</f>
        <v>0</v>
      </c>
      <c r="G48" s="64" t="n">
        <f aca="false">MAX(0,G28-F28)*$B$14</f>
        <v>10000</v>
      </c>
      <c r="H48" s="66" t="s">
        <v>738</v>
      </c>
    </row>
    <row r="50" customFormat="false" ht="15" hidden="false" customHeight="true" outlineLevel="0" collapsed="false">
      <c r="A50" s="6" t="s">
        <v>739</v>
      </c>
    </row>
    <row r="51" customFormat="false" ht="15" hidden="false" customHeight="true" outlineLevel="0" collapsed="false">
      <c r="A51" s="3" t="s">
        <v>740</v>
      </c>
      <c r="B51" s="83" t="n">
        <f aca="false">Class_NVIDIA_Datacenter!B71*Class_NVIDIA_Datacenter!$C$7*B57</f>
        <v>2</v>
      </c>
      <c r="C51" s="83" t="n">
        <f aca="false">Class_NVIDIA_Datacenter!C71*Class_NVIDIA_Datacenter!$C$7*C57</f>
        <v>2</v>
      </c>
      <c r="D51" s="83" t="n">
        <f aca="false">Class_NVIDIA_Datacenter!D71*Class_NVIDIA_Datacenter!$C$7*D57</f>
        <v>4</v>
      </c>
      <c r="E51" s="83" t="n">
        <f aca="false">Class_NVIDIA_Datacenter!E71*Class_NVIDIA_Datacenter!$C$7*E57</f>
        <v>6</v>
      </c>
      <c r="F51" s="83" t="n">
        <f aca="false">Class_NVIDIA_Datacenter!F71*Class_NVIDIA_Datacenter!$C$7*F57</f>
        <v>8</v>
      </c>
      <c r="G51" s="83" t="n">
        <f aca="false">Class_NVIDIA_Datacenter!G71*Class_NVIDIA_Datacenter!$C$7*G57</f>
        <v>10</v>
      </c>
      <c r="H51" s="66" t="s">
        <v>741</v>
      </c>
    </row>
    <row r="52" customFormat="false" ht="15" hidden="false" customHeight="true" outlineLevel="0" collapsed="false">
      <c r="A52" s="3" t="s">
        <v>742</v>
      </c>
      <c r="B52" s="93" t="n">
        <f aca="false">B51*$B$9*730*$B$10</f>
        <v>2102400000</v>
      </c>
      <c r="C52" s="93" t="n">
        <f aca="false">C51*$B$9*730*$B$10</f>
        <v>2102400000</v>
      </c>
      <c r="D52" s="93" t="n">
        <f aca="false">D51*$B$9*730*$B$10</f>
        <v>4204800000</v>
      </c>
      <c r="E52" s="93" t="n">
        <f aca="false">E51*$B$9*730*$B$10</f>
        <v>6307200000</v>
      </c>
      <c r="F52" s="93" t="n">
        <f aca="false">F51*$B$9*730*$B$10</f>
        <v>8409600000</v>
      </c>
      <c r="G52" s="93" t="n">
        <f aca="false">G51*$B$9*730*$B$10</f>
        <v>10512000000</v>
      </c>
    </row>
    <row r="53" customFormat="false" ht="15" hidden="false" customHeight="true" outlineLevel="0" collapsed="false">
      <c r="A53" s="3" t="s">
        <v>743</v>
      </c>
      <c r="B53" s="93" t="n">
        <f aca="false">B27*$B$8</f>
        <v>400000000</v>
      </c>
      <c r="C53" s="93" t="n">
        <f aca="false">C27*$B$8</f>
        <v>1200000000</v>
      </c>
      <c r="D53" s="93" t="n">
        <f aca="false">D27*$B$8</f>
        <v>2400000000</v>
      </c>
      <c r="E53" s="93" t="n">
        <f aca="false">E27*$B$8</f>
        <v>4000000000</v>
      </c>
      <c r="F53" s="93" t="n">
        <f aca="false">F27*$B$8</f>
        <v>5600000000</v>
      </c>
      <c r="G53" s="93" t="n">
        <f aca="false">G27*$B$8</f>
        <v>7000000000</v>
      </c>
    </row>
    <row r="54" customFormat="false" ht="15" hidden="false" customHeight="true" outlineLevel="0" collapsed="false">
      <c r="A54" s="3" t="s">
        <v>744</v>
      </c>
      <c r="B54" s="89" t="n">
        <f aca="false">IF(B52=0,0,B53/B52)</f>
        <v>0.190258751902588</v>
      </c>
      <c r="C54" s="89" t="n">
        <f aca="false">IF(C52=0,0,C53/C52)</f>
        <v>0.570776255707763</v>
      </c>
      <c r="D54" s="89" t="n">
        <f aca="false">IF(D52=0,0,D53/D52)</f>
        <v>0.570776255707763</v>
      </c>
      <c r="E54" s="89" t="n">
        <f aca="false">IF(E52=0,0,E53/E52)</f>
        <v>0.634195839675292</v>
      </c>
      <c r="F54" s="89" t="n">
        <f aca="false">IF(F52=0,0,F53/F52)</f>
        <v>0.665905631659056</v>
      </c>
      <c r="G54" s="89" t="n">
        <f aca="false">IF(G52=0,0,G53/G52)</f>
        <v>0.665905631659056</v>
      </c>
      <c r="H54" s="66" t="s">
        <v>745</v>
      </c>
    </row>
    <row r="55" customFormat="false" ht="15" hidden="false" customHeight="true" outlineLevel="0" collapsed="false">
      <c r="A55" s="3" t="s">
        <v>746</v>
      </c>
      <c r="B55" s="64" t="n">
        <f aca="false">(Class_NVIDIA_Datacenter!B67*Class_NVIDIA_Datacenter!B57+Class_NVIDIA_Datacenter!B68*Class_NVIDIA_Datacenter!B58+Class_NVIDIA_Datacenter!B69*Class_NVIDIA_Datacenter!B59)*B57*(1+$B$23)</f>
        <v>44748.6528</v>
      </c>
      <c r="C55" s="64" t="n">
        <f aca="false">(Class_NVIDIA_Datacenter!C67*Class_NVIDIA_Datacenter!C57+Class_NVIDIA_Datacenter!C68*Class_NVIDIA_Datacenter!C58+Class_NVIDIA_Datacenter!C69*Class_NVIDIA_Datacenter!C59)*C57*(1+$B$23)</f>
        <v>37451.25696</v>
      </c>
      <c r="D55" s="64" t="n">
        <f aca="false">(Class_NVIDIA_Datacenter!D67*Class_NVIDIA_Datacenter!D57+Class_NVIDIA_Datacenter!D68*Class_NVIDIA_Datacenter!D58+Class_NVIDIA_Datacenter!D69*Class_NVIDIA_Datacenter!D59)*D57*(1+$B$23)</f>
        <v>67704.3215127273</v>
      </c>
      <c r="E55" s="64" t="n">
        <f aca="false">(Class_NVIDIA_Datacenter!E67*Class_NVIDIA_Datacenter!E57+Class_NVIDIA_Datacenter!E68*Class_NVIDIA_Datacenter!E58+Class_NVIDIA_Datacenter!E69*Class_NVIDIA_Datacenter!E59)*E57*(1+$B$23)</f>
        <v>85330.7612247273</v>
      </c>
      <c r="F55" s="64" t="n">
        <f aca="false">(Class_NVIDIA_Datacenter!F67*Class_NVIDIA_Datacenter!F57+Class_NVIDIA_Datacenter!F68*Class_NVIDIA_Datacenter!F58+Class_NVIDIA_Datacenter!F69*Class_NVIDIA_Datacenter!F59)*F57*(1+$B$23)</f>
        <v>101402.3181936</v>
      </c>
      <c r="G55" s="64" t="n">
        <f aca="false">(Class_NVIDIA_Datacenter!G67*Class_NVIDIA_Datacenter!G57+Class_NVIDIA_Datacenter!G68*Class_NVIDIA_Datacenter!G58+Class_NVIDIA_Datacenter!G69*Class_NVIDIA_Datacenter!G59)*G57*(1+$B$23)</f>
        <v>106839.6879819</v>
      </c>
    </row>
    <row r="56" customFormat="false" ht="15" hidden="false" customHeight="true" outlineLevel="0" collapsed="false">
      <c r="A56" s="6" t="s">
        <v>747</v>
      </c>
      <c r="B56" s="19" t="n">
        <f aca="false">B33-B40-B55</f>
        <v>5651.34719999999</v>
      </c>
      <c r="C56" s="19" t="n">
        <f aca="false">C33-C40-C55</f>
        <v>113748.74304</v>
      </c>
      <c r="D56" s="19" t="n">
        <f aca="false">D33-D40-D55</f>
        <v>234695.678487273</v>
      </c>
      <c r="E56" s="19" t="n">
        <f aca="false">E33-E40-E55</f>
        <v>418669.238775273</v>
      </c>
      <c r="F56" s="19" t="n">
        <f aca="false">F33-F40-F55</f>
        <v>604197.6818064</v>
      </c>
      <c r="G56" s="19" t="n">
        <f aca="false">G33-G40-G55</f>
        <v>775160.3120181</v>
      </c>
    </row>
    <row r="57" customFormat="false" ht="15" hidden="false" customHeight="true" outlineLevel="0" collapsed="false">
      <c r="A57" s="1" t="s">
        <v>748</v>
      </c>
      <c r="B57" s="94" t="n">
        <f aca="false">IF(Class_NVIDIA_Datacenter!B71*Class_NVIDIA_Datacenter!$C$7=0,0,MIN(1,MAX($B$25,ROUNDUP(B31*$B$8/($B$9*730*$B$10*$B$24),0))/(Class_NVIDIA_Datacenter!B71*Class_NVIDIA_Datacenter!$C$7)))</f>
        <v>0.03125</v>
      </c>
      <c r="C57" s="94" t="n">
        <f aca="false">IF(Class_NVIDIA_Datacenter!C71*Class_NVIDIA_Datacenter!$C$7=0,0,MIN(1,MAX($B$25,ROUNDUP(C31*$B$8/($B$9*730*$B$10*$B$24),0))/(Class_NVIDIA_Datacenter!C71*Class_NVIDIA_Datacenter!$C$7)))</f>
        <v>0.03125</v>
      </c>
      <c r="D57" s="94" t="n">
        <f aca="false">IF(Class_NVIDIA_Datacenter!D71*Class_NVIDIA_Datacenter!$C$7=0,0,MIN(1,MAX($B$25,ROUNDUP(D31*$B$8/($B$9*730*$B$10*$B$24),0))/(Class_NVIDIA_Datacenter!D71*Class_NVIDIA_Datacenter!$C$7)))</f>
        <v>0.0454545454545455</v>
      </c>
      <c r="E57" s="94" t="n">
        <f aca="false">IF(Class_NVIDIA_Datacenter!E71*Class_NVIDIA_Datacenter!$C$7=0,0,MIN(1,MAX($B$25,ROUNDUP(E31*$B$8/($B$9*730*$B$10*$B$24),0))/(Class_NVIDIA_Datacenter!E71*Class_NVIDIA_Datacenter!$C$7)))</f>
        <v>0.0681818181818182</v>
      </c>
      <c r="F57" s="94" t="n">
        <f aca="false">IF(Class_NVIDIA_Datacenter!F71*Class_NVIDIA_Datacenter!$C$7=0,0,MIN(1,MAX($B$25,ROUNDUP(F31*$B$8/($B$9*730*$B$10*$B$24),0))/(Class_NVIDIA_Datacenter!F71*Class_NVIDIA_Datacenter!$C$7)))</f>
        <v>0.0833333333333333</v>
      </c>
      <c r="G57" s="94" t="n">
        <f aca="false">IF(Class_NVIDIA_Datacenter!G71*Class_NVIDIA_Datacenter!$C$7=0,0,MIN(1,MAX($B$25,ROUNDUP(G31*$B$8/($B$9*730*$B$10*$B$24),0))/(Class_NVIDIA_Datacenter!G71*Class_NVIDIA_Datacenter!$C$7)))</f>
        <v>0.104166666666667</v>
      </c>
    </row>
  </sheetData>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D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6"/>
    <col collapsed="false" customWidth="true" hidden="false" outlineLevel="0" max="30" min="2" style="1" width="14"/>
  </cols>
  <sheetData>
    <row r="1" customFormat="false" ht="15.75" hidden="false" customHeight="true" outlineLevel="0" collapsed="false">
      <c r="A1" s="2" t="s">
        <v>749</v>
      </c>
    </row>
    <row r="2" customFormat="false" ht="15" hidden="false" customHeight="true" outlineLevel="0" collapsed="false">
      <c r="A2" s="3" t="s">
        <v>750</v>
      </c>
    </row>
    <row r="3" customFormat="false" ht="15" hidden="false" customHeight="true" outlineLevel="0" collapsed="false">
      <c r="A3" s="3" t="s">
        <v>751</v>
      </c>
    </row>
    <row r="4" customFormat="false" ht="15" hidden="false" customHeight="true" outlineLevel="0" collapsed="false">
      <c r="A4" s="3" t="s">
        <v>752</v>
      </c>
    </row>
    <row r="5" customFormat="false" ht="15" hidden="false" customHeight="true" outlineLevel="0" collapsed="false">
      <c r="A5" s="3" t="s">
        <v>753</v>
      </c>
    </row>
    <row r="7" customFormat="false" ht="34.5" hidden="false" customHeight="true" outlineLevel="0" collapsed="false">
      <c r="A7" s="42" t="s">
        <v>754</v>
      </c>
      <c r="B7" s="42" t="s">
        <v>755</v>
      </c>
      <c r="C7" s="42" t="s">
        <v>756</v>
      </c>
      <c r="D7" s="42" t="s">
        <v>757</v>
      </c>
      <c r="E7" s="42" t="s">
        <v>758</v>
      </c>
      <c r="F7" s="42" t="s">
        <v>759</v>
      </c>
      <c r="G7" s="42" t="s">
        <v>760</v>
      </c>
      <c r="H7" s="42" t="s">
        <v>761</v>
      </c>
      <c r="I7" s="42" t="s">
        <v>762</v>
      </c>
      <c r="J7" s="42" t="s">
        <v>763</v>
      </c>
      <c r="K7" s="42" t="s">
        <v>764</v>
      </c>
      <c r="L7" s="42" t="s">
        <v>765</v>
      </c>
      <c r="M7" s="42" t="s">
        <v>766</v>
      </c>
      <c r="N7" s="42" t="s">
        <v>767</v>
      </c>
      <c r="O7" s="42" t="s">
        <v>768</v>
      </c>
      <c r="P7" s="42" t="s">
        <v>769</v>
      </c>
      <c r="Q7" s="42" t="s">
        <v>770</v>
      </c>
      <c r="R7" s="42" t="s">
        <v>771</v>
      </c>
      <c r="S7" s="42" t="s">
        <v>772</v>
      </c>
      <c r="T7" s="42" t="s">
        <v>773</v>
      </c>
      <c r="U7" s="42" t="s">
        <v>774</v>
      </c>
      <c r="V7" s="42" t="s">
        <v>775</v>
      </c>
      <c r="W7" s="42" t="s">
        <v>776</v>
      </c>
      <c r="X7" s="42" t="s">
        <v>777</v>
      </c>
      <c r="Y7" s="42" t="s">
        <v>778</v>
      </c>
      <c r="Z7" s="42" t="s">
        <v>779</v>
      </c>
      <c r="AA7" s="42" t="s">
        <v>780</v>
      </c>
      <c r="AB7" s="42" t="s">
        <v>781</v>
      </c>
      <c r="AC7" s="42" t="s">
        <v>782</v>
      </c>
      <c r="AD7" s="42" t="s">
        <v>783</v>
      </c>
    </row>
    <row r="8" customFormat="false" ht="15" hidden="false" customHeight="true" outlineLevel="0" collapsed="false">
      <c r="A8" s="95" t="n">
        <v>1</v>
      </c>
      <c r="B8" s="95" t="n">
        <v>1</v>
      </c>
      <c r="C8" s="95" t="n">
        <v>0</v>
      </c>
      <c r="D8" s="95" t="n">
        <v>0</v>
      </c>
      <c r="E8" s="95" t="n">
        <v>0</v>
      </c>
      <c r="F8" s="95" t="n">
        <v>1</v>
      </c>
      <c r="G8" s="96" t="n">
        <v>9.2</v>
      </c>
      <c r="H8" s="64" t="n">
        <v>208000</v>
      </c>
      <c r="I8" s="95" t="n">
        <v>1</v>
      </c>
      <c r="J8" s="89" t="n">
        <v>0.83238203957382</v>
      </c>
      <c r="K8" s="93" t="n">
        <v>3500</v>
      </c>
      <c r="L8" s="93" t="n">
        <v>3500</v>
      </c>
      <c r="M8" s="3" t="s">
        <v>784</v>
      </c>
      <c r="N8" s="64" t="n">
        <v>5501.6</v>
      </c>
      <c r="O8" s="64" t="n">
        <v>40579.880584303</v>
      </c>
      <c r="P8" s="64" t="n">
        <v>4410.85658525033</v>
      </c>
      <c r="Q8" s="64" t="n">
        <v>1587673.85368805</v>
      </c>
      <c r="R8" s="64" t="n">
        <v>2236665.20046506</v>
      </c>
      <c r="S8" s="64" t="n">
        <v>-201494.766144</v>
      </c>
      <c r="T8" s="97" t="n">
        <v>3.03807222225138</v>
      </c>
      <c r="U8" s="64" t="n">
        <v>898864.78198395</v>
      </c>
      <c r="V8" s="64" t="n">
        <v>350000</v>
      </c>
      <c r="W8" s="64" t="n">
        <v>517339.160453134</v>
      </c>
      <c r="X8" s="64" t="n">
        <v>935632.400465056</v>
      </c>
      <c r="Y8" s="64" t="n">
        <v>-523231.3875328</v>
      </c>
      <c r="Z8" s="97" t="n">
        <v>1.66020127957634</v>
      </c>
      <c r="AA8" s="64" t="n">
        <v>3528977.14875992</v>
      </c>
      <c r="AB8" s="64" t="n">
        <v>-715558.806371156</v>
      </c>
      <c r="AC8" s="3" t="s">
        <v>785</v>
      </c>
      <c r="AD8" s="3" t="s">
        <v>785</v>
      </c>
    </row>
    <row r="9" customFormat="false" ht="15" hidden="false" customHeight="true" outlineLevel="0" collapsed="false">
      <c r="A9" s="95" t="n">
        <v>2</v>
      </c>
      <c r="B9" s="95" t="n">
        <v>1</v>
      </c>
      <c r="C9" s="95" t="n">
        <v>0</v>
      </c>
      <c r="D9" s="95" t="n">
        <v>0</v>
      </c>
      <c r="E9" s="95" t="n">
        <v>1</v>
      </c>
      <c r="F9" s="95" t="n">
        <v>2</v>
      </c>
      <c r="G9" s="96" t="n">
        <v>18.4</v>
      </c>
      <c r="H9" s="64" t="n">
        <v>354375</v>
      </c>
      <c r="I9" s="95" t="n">
        <v>1</v>
      </c>
      <c r="J9" s="89" t="n">
        <v>0.665905631659056</v>
      </c>
      <c r="K9" s="93" t="n">
        <v>3500</v>
      </c>
      <c r="L9" s="93" t="n">
        <v>3500</v>
      </c>
      <c r="M9" s="3" t="s">
        <v>784</v>
      </c>
      <c r="N9" s="64" t="n">
        <v>11003.2</v>
      </c>
      <c r="O9" s="64" t="n">
        <v>40579.880584303</v>
      </c>
      <c r="P9" s="64" t="n">
        <v>2205.42829262516</v>
      </c>
      <c r="Q9" s="64" t="n">
        <v>1560935.47127452</v>
      </c>
      <c r="R9" s="64" t="n">
        <v>2202198.36692123</v>
      </c>
      <c r="S9" s="64" t="n">
        <v>-201494.766144</v>
      </c>
      <c r="T9" s="97" t="n">
        <v>2.74545708241301</v>
      </c>
      <c r="U9" s="64" t="n">
        <v>898864.78198395</v>
      </c>
      <c r="V9" s="64" t="n">
        <v>350000</v>
      </c>
      <c r="W9" s="64" t="n">
        <v>490600.778039598</v>
      </c>
      <c r="X9" s="64" t="n">
        <v>901165.566921226</v>
      </c>
      <c r="Y9" s="64" t="n">
        <v>-523231.3875328</v>
      </c>
      <c r="Z9" s="97" t="n">
        <v>1.59747734441039</v>
      </c>
      <c r="AA9" s="64" t="n">
        <v>3528977.14875992</v>
      </c>
      <c r="AB9" s="64" t="n">
        <v>-783070.736451422</v>
      </c>
      <c r="AC9" s="3" t="s">
        <v>785</v>
      </c>
      <c r="AD9" s="3" t="s">
        <v>785</v>
      </c>
    </row>
    <row r="10" customFormat="false" ht="15" hidden="false" customHeight="true" outlineLevel="0" collapsed="false">
      <c r="A10" s="95" t="n">
        <v>3</v>
      </c>
      <c r="B10" s="95" t="n">
        <v>2</v>
      </c>
      <c r="C10" s="95" t="n">
        <v>0</v>
      </c>
      <c r="D10" s="95" t="n">
        <v>0</v>
      </c>
      <c r="E10" s="95" t="n">
        <v>1</v>
      </c>
      <c r="F10" s="95" t="n">
        <v>3</v>
      </c>
      <c r="G10" s="96" t="n">
        <v>27.6</v>
      </c>
      <c r="H10" s="64" t="n">
        <v>532375</v>
      </c>
      <c r="I10" s="95" t="n">
        <v>2</v>
      </c>
      <c r="J10" s="89" t="n">
        <v>0.665905631659056</v>
      </c>
      <c r="K10" s="93" t="n">
        <v>3500</v>
      </c>
      <c r="L10" s="93" t="n">
        <v>3500</v>
      </c>
      <c r="M10" s="3" t="s">
        <v>784</v>
      </c>
      <c r="N10" s="64" t="n">
        <v>16504.8</v>
      </c>
      <c r="O10" s="64" t="n">
        <v>40579.880584303</v>
      </c>
      <c r="P10" s="64" t="n">
        <v>1470.28552841678</v>
      </c>
      <c r="Q10" s="64" t="n">
        <v>1850993.43998135</v>
      </c>
      <c r="R10" s="64" t="n">
        <v>2567794.97623499</v>
      </c>
      <c r="S10" s="64" t="n">
        <v>-238499.666016</v>
      </c>
      <c r="T10" s="97" t="n">
        <v>2.60534232029499</v>
      </c>
      <c r="U10" s="64" t="n">
        <v>998535.536711652</v>
      </c>
      <c r="V10" s="64" t="n">
        <v>474441.371432348</v>
      </c>
      <c r="W10" s="64" t="n">
        <v>780658.746746435</v>
      </c>
      <c r="X10" s="64" t="n">
        <v>1266762.17623499</v>
      </c>
      <c r="Y10" s="64" t="n">
        <v>-453006.866016</v>
      </c>
      <c r="Z10" s="97" t="n">
        <v>1.63679808579813</v>
      </c>
      <c r="AA10" s="64" t="n">
        <v>2810030.89746495</v>
      </c>
      <c r="AB10" s="64" t="n">
        <v>-276226.775773073</v>
      </c>
      <c r="AC10" s="3" t="s">
        <v>785</v>
      </c>
      <c r="AD10" s="3" t="s">
        <v>785</v>
      </c>
    </row>
    <row r="11" customFormat="false" ht="15" hidden="false" customHeight="true" outlineLevel="0" collapsed="false">
      <c r="A11" s="95" t="n">
        <v>4</v>
      </c>
      <c r="B11" s="95" t="n">
        <v>3</v>
      </c>
      <c r="C11" s="95" t="n">
        <v>1</v>
      </c>
      <c r="D11" s="95" t="n">
        <v>0</v>
      </c>
      <c r="E11" s="95" t="n">
        <v>0</v>
      </c>
      <c r="F11" s="95" t="n">
        <v>4</v>
      </c>
      <c r="G11" s="96" t="n">
        <v>36.8</v>
      </c>
      <c r="H11" s="64" t="n">
        <v>667625</v>
      </c>
      <c r="I11" s="95" t="n">
        <v>3</v>
      </c>
      <c r="J11" s="89" t="n">
        <v>0.665905631659056</v>
      </c>
      <c r="K11" s="93" t="n">
        <v>3500</v>
      </c>
      <c r="L11" s="93" t="n">
        <v>3500</v>
      </c>
      <c r="M11" s="3" t="s">
        <v>784</v>
      </c>
      <c r="N11" s="64" t="n">
        <v>22006.4</v>
      </c>
      <c r="O11" s="64" t="n">
        <v>40579.880584303</v>
      </c>
      <c r="P11" s="64" t="n">
        <v>1102.71414631258</v>
      </c>
      <c r="Q11" s="64" t="n">
        <v>2238955.90725554</v>
      </c>
      <c r="R11" s="64" t="n">
        <v>3060424.71228879</v>
      </c>
      <c r="S11" s="64" t="n">
        <v>-268004.565888</v>
      </c>
      <c r="T11" s="97" t="n">
        <v>2.56096933517925</v>
      </c>
      <c r="U11" s="64" t="n">
        <v>1151875.16042533</v>
      </c>
      <c r="V11" s="64" t="n">
        <v>591564.1283968</v>
      </c>
      <c r="W11" s="64" t="n">
        <v>1168621.21402061</v>
      </c>
      <c r="X11" s="64" t="n">
        <v>1759391.91228879</v>
      </c>
      <c r="Y11" s="64" t="n">
        <v>-482511.765888</v>
      </c>
      <c r="Z11" s="97" t="n">
        <v>1.70250658165919</v>
      </c>
      <c r="AA11" s="64" t="n">
        <v>2121849.53320649</v>
      </c>
      <c r="AB11" s="64" t="n">
        <v>275381.148407245</v>
      </c>
      <c r="AC11" s="3" t="s">
        <v>785</v>
      </c>
      <c r="AD11" s="3" t="s">
        <v>785</v>
      </c>
    </row>
    <row r="12" customFormat="false" ht="15" hidden="false" customHeight="true" outlineLevel="0" collapsed="false">
      <c r="A12" s="95" t="n">
        <v>5</v>
      </c>
      <c r="B12" s="95" t="n">
        <v>3</v>
      </c>
      <c r="C12" s="95" t="n">
        <v>1</v>
      </c>
      <c r="D12" s="95" t="n">
        <v>0</v>
      </c>
      <c r="E12" s="95" t="n">
        <v>1</v>
      </c>
      <c r="F12" s="95" t="n">
        <v>5</v>
      </c>
      <c r="G12" s="96" t="n">
        <v>46</v>
      </c>
      <c r="H12" s="64" t="n">
        <v>814000</v>
      </c>
      <c r="I12" s="95" t="n">
        <v>3</v>
      </c>
      <c r="J12" s="89" t="n">
        <v>0.665905631659056</v>
      </c>
      <c r="K12" s="93" t="n">
        <v>3500</v>
      </c>
      <c r="L12" s="93" t="n">
        <v>3500</v>
      </c>
      <c r="M12" s="3" t="s">
        <v>784</v>
      </c>
      <c r="N12" s="64" t="n">
        <v>27508</v>
      </c>
      <c r="O12" s="64" t="n">
        <v>40579.880584303</v>
      </c>
      <c r="P12" s="64" t="n">
        <v>882.171317050065</v>
      </c>
      <c r="Q12" s="64" t="n">
        <v>2255815.66347384</v>
      </c>
      <c r="R12" s="64" t="n">
        <v>3089641.66287689</v>
      </c>
      <c r="S12" s="64" t="n">
        <v>-268004.565888</v>
      </c>
      <c r="T12" s="97" t="n">
        <v>2.4368249631632</v>
      </c>
      <c r="U12" s="64" t="n">
        <v>1151875.16042533</v>
      </c>
      <c r="V12" s="64" t="n">
        <v>591564.1283968</v>
      </c>
      <c r="W12" s="64" t="n">
        <v>1185480.97023892</v>
      </c>
      <c r="X12" s="64" t="n">
        <v>1788608.86287689</v>
      </c>
      <c r="Y12" s="64" t="n">
        <v>-482511.765888</v>
      </c>
      <c r="Z12" s="97" t="n">
        <v>1.66819668916008</v>
      </c>
      <c r="AA12" s="64" t="n">
        <v>2121849.53320649</v>
      </c>
      <c r="AB12" s="64" t="n">
        <v>275381.148407245</v>
      </c>
      <c r="AC12" s="3" t="s">
        <v>785</v>
      </c>
      <c r="AD12" s="3" t="s">
        <v>785</v>
      </c>
    </row>
    <row r="13" customFormat="false" ht="15" hidden="false" customHeight="true" outlineLevel="0" collapsed="false">
      <c r="A13" s="95" t="n">
        <v>6</v>
      </c>
      <c r="B13" s="95" t="n">
        <v>4</v>
      </c>
      <c r="C13" s="95" t="n">
        <v>1</v>
      </c>
      <c r="D13" s="95" t="n">
        <v>0</v>
      </c>
      <c r="E13" s="95" t="n">
        <v>1</v>
      </c>
      <c r="F13" s="95" t="n">
        <v>6</v>
      </c>
      <c r="G13" s="96" t="n">
        <v>55.2</v>
      </c>
      <c r="H13" s="64" t="n">
        <v>992000</v>
      </c>
      <c r="I13" s="95" t="n">
        <v>4</v>
      </c>
      <c r="J13" s="89" t="n">
        <v>0.665905631659056</v>
      </c>
      <c r="K13" s="93" t="n">
        <v>3500</v>
      </c>
      <c r="L13" s="93" t="n">
        <v>3500</v>
      </c>
      <c r="M13" s="3" t="s">
        <v>784</v>
      </c>
      <c r="N13" s="64" t="n">
        <v>33009.6</v>
      </c>
      <c r="O13" s="64" t="n">
        <v>40579.880584303</v>
      </c>
      <c r="P13" s="64" t="n">
        <v>735.142764208388</v>
      </c>
      <c r="Q13" s="64" t="n">
        <v>2531992.10179265</v>
      </c>
      <c r="R13" s="64" t="n">
        <v>3435197.5933533</v>
      </c>
      <c r="S13" s="64" t="n">
        <v>-305009.46576</v>
      </c>
      <c r="T13" s="97" t="n">
        <v>2.37199602904599</v>
      </c>
      <c r="U13" s="64" t="n">
        <v>1336975.99234772</v>
      </c>
      <c r="V13" s="64" t="n">
        <v>692687.808663476</v>
      </c>
      <c r="W13" s="64" t="n">
        <v>1461657.40855773</v>
      </c>
      <c r="X13" s="64" t="n">
        <v>2134164.7933533</v>
      </c>
      <c r="Y13" s="64" t="n">
        <v>-519516.66576</v>
      </c>
      <c r="Z13" s="97" t="n">
        <v>1.68814777376433</v>
      </c>
      <c r="AA13" s="64" t="n">
        <v>1558092.64450489</v>
      </c>
      <c r="AB13" s="64" t="n">
        <v>387044.126753267</v>
      </c>
      <c r="AC13" s="3" t="s">
        <v>785</v>
      </c>
      <c r="AD13" s="3" t="s">
        <v>785</v>
      </c>
    </row>
    <row r="14" customFormat="false" ht="15" hidden="false" customHeight="true" outlineLevel="0" collapsed="false">
      <c r="A14" s="95" t="n">
        <v>7</v>
      </c>
      <c r="B14" s="95" t="n">
        <v>5</v>
      </c>
      <c r="C14" s="95" t="n">
        <v>1</v>
      </c>
      <c r="D14" s="95" t="n">
        <v>1</v>
      </c>
      <c r="E14" s="95" t="n">
        <v>0</v>
      </c>
      <c r="F14" s="95" t="n">
        <v>7</v>
      </c>
      <c r="G14" s="96" t="n">
        <v>64.4</v>
      </c>
      <c r="H14" s="64" t="n">
        <v>1277625</v>
      </c>
      <c r="I14" s="95" t="n">
        <v>5</v>
      </c>
      <c r="J14" s="89" t="n">
        <v>0.665905631659056</v>
      </c>
      <c r="K14" s="93" t="n">
        <v>3500</v>
      </c>
      <c r="L14" s="93" t="n">
        <v>3500</v>
      </c>
      <c r="M14" s="3" t="s">
        <v>784</v>
      </c>
      <c r="N14" s="64" t="n">
        <v>38511.2</v>
      </c>
      <c r="O14" s="64" t="n">
        <v>40579.880584303</v>
      </c>
      <c r="P14" s="64" t="n">
        <v>630.122369321475</v>
      </c>
      <c r="Q14" s="64" t="n">
        <v>2957561.88433468</v>
      </c>
      <c r="R14" s="64" t="n">
        <v>3991884.96052768</v>
      </c>
      <c r="S14" s="64" t="n">
        <v>-342014.365632</v>
      </c>
      <c r="T14" s="97" t="n">
        <v>2.30793883682376</v>
      </c>
      <c r="U14" s="64" t="n">
        <v>1537449.09076784</v>
      </c>
      <c r="V14" s="64" t="n">
        <v>805282.800662213</v>
      </c>
      <c r="W14" s="64" t="n">
        <v>1887227.19109976</v>
      </c>
      <c r="X14" s="64" t="n">
        <v>2690852.16052768</v>
      </c>
      <c r="Y14" s="64" t="n">
        <v>-556521.565632</v>
      </c>
      <c r="Z14" s="97" t="n">
        <v>1.71920877675673</v>
      </c>
      <c r="AA14" s="64" t="n">
        <v>1719975.16211004</v>
      </c>
      <c r="AB14" s="64" t="n">
        <v>511649.564743651</v>
      </c>
      <c r="AC14" s="3" t="s">
        <v>785</v>
      </c>
      <c r="AD14" s="3" t="s">
        <v>785</v>
      </c>
    </row>
    <row r="15" customFormat="false" ht="15" hidden="false" customHeight="true" outlineLevel="0" collapsed="false">
      <c r="A15" s="95" t="n">
        <v>8</v>
      </c>
      <c r="B15" s="95" t="n">
        <v>5</v>
      </c>
      <c r="C15" s="95" t="n">
        <v>1</v>
      </c>
      <c r="D15" s="95" t="n">
        <v>1</v>
      </c>
      <c r="E15" s="95" t="n">
        <v>1</v>
      </c>
      <c r="F15" s="95" t="n">
        <v>8</v>
      </c>
      <c r="G15" s="96" t="n">
        <v>73.6</v>
      </c>
      <c r="H15" s="64" t="n">
        <v>1424000</v>
      </c>
      <c r="I15" s="95" t="n">
        <v>5</v>
      </c>
      <c r="J15" s="89" t="n">
        <v>0.665905631659056</v>
      </c>
      <c r="K15" s="93" t="n">
        <v>3500</v>
      </c>
      <c r="L15" s="93" t="n">
        <v>3500</v>
      </c>
      <c r="M15" s="3" t="s">
        <v>784</v>
      </c>
      <c r="N15" s="64" t="n">
        <v>44012.8</v>
      </c>
      <c r="O15" s="64" t="n">
        <v>40579.880584303</v>
      </c>
      <c r="P15" s="64" t="n">
        <v>551.357073156291</v>
      </c>
      <c r="Q15" s="64" t="n">
        <v>2984089.13493037</v>
      </c>
      <c r="R15" s="64" t="n">
        <v>4035058.81244893</v>
      </c>
      <c r="S15" s="64" t="n">
        <v>-342014.365632</v>
      </c>
      <c r="T15" s="97" t="n">
        <v>2.23991497948355</v>
      </c>
      <c r="U15" s="64" t="n">
        <v>1537449.09076784</v>
      </c>
      <c r="V15" s="64" t="n">
        <v>805282.800662213</v>
      </c>
      <c r="W15" s="64" t="n">
        <v>1913754.44169545</v>
      </c>
      <c r="X15" s="64" t="n">
        <v>2734026.01244893</v>
      </c>
      <c r="Y15" s="64" t="n">
        <v>-556521.565632</v>
      </c>
      <c r="Z15" s="97" t="n">
        <v>1.69458649804502</v>
      </c>
      <c r="AA15" s="64" t="n">
        <v>1719975.16211004</v>
      </c>
      <c r="AB15" s="64" t="n">
        <v>511649.564743651</v>
      </c>
      <c r="AC15" s="3" t="s">
        <v>785</v>
      </c>
      <c r="AD15" s="3" t="s">
        <v>785</v>
      </c>
    </row>
    <row r="16" customFormat="false" ht="15" hidden="false" customHeight="true" outlineLevel="0" collapsed="false">
      <c r="A16" s="95" t="n">
        <v>9</v>
      </c>
      <c r="B16" s="95" t="n">
        <v>6</v>
      </c>
      <c r="C16" s="95" t="n">
        <v>2</v>
      </c>
      <c r="D16" s="95" t="n">
        <v>1</v>
      </c>
      <c r="E16" s="95" t="n">
        <v>0</v>
      </c>
      <c r="F16" s="95" t="n">
        <v>9</v>
      </c>
      <c r="G16" s="96" t="n">
        <v>82.8</v>
      </c>
      <c r="H16" s="64" t="n">
        <v>1559250</v>
      </c>
      <c r="I16" s="95" t="n">
        <v>6</v>
      </c>
      <c r="J16" s="89" t="n">
        <v>0.665905631659056</v>
      </c>
      <c r="K16" s="93" t="n">
        <v>3500</v>
      </c>
      <c r="L16" s="93" t="n">
        <v>3500</v>
      </c>
      <c r="M16" s="3" t="s">
        <v>784</v>
      </c>
      <c r="N16" s="64" t="n">
        <v>49514.4</v>
      </c>
      <c r="O16" s="64" t="n">
        <v>40579.880584303</v>
      </c>
      <c r="P16" s="64" t="n">
        <v>490.095176138925</v>
      </c>
      <c r="Q16" s="64" t="n">
        <v>3355833.08315186</v>
      </c>
      <c r="R16" s="64" t="n">
        <v>4502236.36781369</v>
      </c>
      <c r="S16" s="64" t="n">
        <v>-371519.265504</v>
      </c>
      <c r="T16" s="97" t="n">
        <v>2.23980667436252</v>
      </c>
      <c r="U16" s="64" t="n">
        <v>1733258.13826119</v>
      </c>
      <c r="V16" s="64" t="n">
        <v>921897.318124341</v>
      </c>
      <c r="W16" s="64" t="n">
        <v>2285498.38991695</v>
      </c>
      <c r="X16" s="64" t="n">
        <v>3201203.56781369</v>
      </c>
      <c r="Y16" s="64" t="n">
        <v>-586026.465504</v>
      </c>
      <c r="Z16" s="97" t="n">
        <v>1.73081837016892</v>
      </c>
      <c r="AA16" s="64" t="n">
        <v>1875349.67445376</v>
      </c>
      <c r="AB16" s="64" t="n">
        <v>722187.567357767</v>
      </c>
      <c r="AC16" s="3" t="s">
        <v>785</v>
      </c>
      <c r="AD16" s="3" t="s">
        <v>785</v>
      </c>
    </row>
    <row r="17" customFormat="false" ht="15" hidden="false" customHeight="true" outlineLevel="0" collapsed="false">
      <c r="A17" s="95" t="n">
        <v>10</v>
      </c>
      <c r="B17" s="95" t="n">
        <v>7</v>
      </c>
      <c r="C17" s="95" t="n">
        <v>2</v>
      </c>
      <c r="D17" s="95" t="n">
        <v>1</v>
      </c>
      <c r="E17" s="95" t="n">
        <v>0</v>
      </c>
      <c r="F17" s="95" t="n">
        <v>10</v>
      </c>
      <c r="G17" s="96" t="n">
        <v>92</v>
      </c>
      <c r="H17" s="64" t="n">
        <v>1737250</v>
      </c>
      <c r="I17" s="95" t="n">
        <v>7</v>
      </c>
      <c r="J17" s="89" t="n">
        <v>0.665905631659056</v>
      </c>
      <c r="K17" s="93" t="n">
        <v>3500</v>
      </c>
      <c r="L17" s="93" t="n">
        <v>3500</v>
      </c>
      <c r="M17" s="3" t="s">
        <v>784</v>
      </c>
      <c r="N17" s="64" t="n">
        <v>55016</v>
      </c>
      <c r="O17" s="64" t="n">
        <v>40579.880584303</v>
      </c>
      <c r="P17" s="64" t="n">
        <v>441.085658525033</v>
      </c>
      <c r="Q17" s="64" t="n">
        <v>3629810.02072251</v>
      </c>
      <c r="R17" s="64" t="n">
        <v>4845773.01839927</v>
      </c>
      <c r="S17" s="64" t="n">
        <v>-408524.165376</v>
      </c>
      <c r="T17" s="97" t="n">
        <v>2.21200625696416</v>
      </c>
      <c r="U17" s="64" t="n">
        <v>1936051.36607281</v>
      </c>
      <c r="V17" s="64" t="n">
        <v>1036223.67013512</v>
      </c>
      <c r="W17" s="64" t="n">
        <v>2559475.32748759</v>
      </c>
      <c r="X17" s="64" t="n">
        <v>3544740.21839927</v>
      </c>
      <c r="Y17" s="64" t="n">
        <v>-623031.365376</v>
      </c>
      <c r="Z17" s="97" t="n">
        <v>1.74123998677946</v>
      </c>
      <c r="AA17" s="64" t="n">
        <v>2068082.46428803</v>
      </c>
      <c r="AB17" s="64" t="n">
        <v>920242.597442124</v>
      </c>
      <c r="AC17" s="3" t="s">
        <v>785</v>
      </c>
      <c r="AD17" s="3" t="s">
        <v>785</v>
      </c>
    </row>
    <row r="18" customFormat="false" ht="15" hidden="false" customHeight="true" outlineLevel="0" collapsed="false">
      <c r="A18" s="95" t="n">
        <v>11</v>
      </c>
      <c r="B18" s="95" t="n">
        <v>7</v>
      </c>
      <c r="C18" s="95" t="n">
        <v>2</v>
      </c>
      <c r="D18" s="95" t="n">
        <v>1</v>
      </c>
      <c r="E18" s="95" t="n">
        <v>1</v>
      </c>
      <c r="F18" s="95" t="n">
        <v>11</v>
      </c>
      <c r="G18" s="96" t="n">
        <v>101.2</v>
      </c>
      <c r="H18" s="64" t="n">
        <v>1883625</v>
      </c>
      <c r="I18" s="95" t="n">
        <v>7</v>
      </c>
      <c r="J18" s="89" t="n">
        <v>0.665905631659056</v>
      </c>
      <c r="K18" s="93" t="n">
        <v>3500</v>
      </c>
      <c r="L18" s="93" t="n">
        <v>3500</v>
      </c>
      <c r="M18" s="3" t="s">
        <v>784</v>
      </c>
      <c r="N18" s="64" t="n">
        <v>60517.6</v>
      </c>
      <c r="O18" s="64" t="n">
        <v>40579.880584303</v>
      </c>
      <c r="P18" s="64" t="n">
        <v>400.986962295484</v>
      </c>
      <c r="Q18" s="64" t="n">
        <v>3658973.86069384</v>
      </c>
      <c r="R18" s="64" t="n">
        <v>4892753.29795684</v>
      </c>
      <c r="S18" s="64" t="n">
        <v>-408524.165376</v>
      </c>
      <c r="T18" s="97" t="n">
        <v>2.16298558078132</v>
      </c>
      <c r="U18" s="64" t="n">
        <v>1936051.36607281</v>
      </c>
      <c r="V18" s="64" t="n">
        <v>1036223.67013512</v>
      </c>
      <c r="W18" s="64" t="n">
        <v>2588639.16745892</v>
      </c>
      <c r="X18" s="64" t="n">
        <v>3591720.49795684</v>
      </c>
      <c r="Y18" s="64" t="n">
        <v>-623031.365376</v>
      </c>
      <c r="Z18" s="97" t="n">
        <v>1.72029755854183</v>
      </c>
      <c r="AA18" s="64" t="n">
        <v>2068082.46428803</v>
      </c>
      <c r="AB18" s="64" t="n">
        <v>920242.597442124</v>
      </c>
      <c r="AC18" s="3" t="s">
        <v>785</v>
      </c>
      <c r="AD18" s="3" t="s">
        <v>785</v>
      </c>
    </row>
    <row r="19" customFormat="false" ht="15" hidden="false" customHeight="true" outlineLevel="0" collapsed="false">
      <c r="A19" s="98" t="n">
        <v>12</v>
      </c>
      <c r="B19" s="98" t="n">
        <v>8</v>
      </c>
      <c r="C19" s="98" t="n">
        <v>2</v>
      </c>
      <c r="D19" s="98" t="n">
        <v>1</v>
      </c>
      <c r="E19" s="98" t="n">
        <v>1</v>
      </c>
      <c r="F19" s="98" t="n">
        <v>12</v>
      </c>
      <c r="G19" s="99" t="n">
        <v>110.4</v>
      </c>
      <c r="H19" s="100" t="n">
        <v>2061625</v>
      </c>
      <c r="I19" s="98" t="n">
        <v>8</v>
      </c>
      <c r="J19" s="101" t="n">
        <v>0.665905631659056</v>
      </c>
      <c r="K19" s="102" t="n">
        <v>3500</v>
      </c>
      <c r="L19" s="102" t="n">
        <v>3500</v>
      </c>
      <c r="M19" s="13" t="s">
        <v>784</v>
      </c>
      <c r="N19" s="100" t="n">
        <v>66019.2</v>
      </c>
      <c r="O19" s="100" t="n">
        <v>40579.880584303</v>
      </c>
      <c r="P19" s="100" t="n">
        <v>367.571382104194</v>
      </c>
      <c r="Q19" s="100" t="n">
        <v>3947663.90415788</v>
      </c>
      <c r="R19" s="100" t="n">
        <v>5251657.09034076</v>
      </c>
      <c r="S19" s="100" t="n">
        <v>-438029.065248</v>
      </c>
      <c r="T19" s="103" t="n">
        <v>2.14994205316461</v>
      </c>
      <c r="U19" s="100" t="n">
        <v>2137147.8472551</v>
      </c>
      <c r="V19" s="100" t="n">
        <v>1156783.85170068</v>
      </c>
      <c r="W19" s="100" t="n">
        <v>2877329.21092296</v>
      </c>
      <c r="X19" s="100" t="n">
        <v>3950624.29034076</v>
      </c>
      <c r="Y19" s="100" t="n">
        <v>-652536.265248</v>
      </c>
      <c r="Z19" s="103" t="n">
        <v>1.73430184570415</v>
      </c>
      <c r="AA19" s="100" t="n">
        <v>2262936.61816953</v>
      </c>
      <c r="AB19" s="100" t="n">
        <v>1036144.54058777</v>
      </c>
      <c r="AC19" s="13" t="s">
        <v>785</v>
      </c>
      <c r="AD19" s="13" t="s">
        <v>786</v>
      </c>
    </row>
    <row r="20" customFormat="false" ht="15" hidden="false" customHeight="true" outlineLevel="0" collapsed="false">
      <c r="A20" s="95" t="n">
        <v>13</v>
      </c>
      <c r="B20" s="95" t="n">
        <v>9</v>
      </c>
      <c r="C20" s="95" t="n">
        <v>2</v>
      </c>
      <c r="D20" s="95" t="n">
        <v>1</v>
      </c>
      <c r="E20" s="95" t="n">
        <v>1</v>
      </c>
      <c r="F20" s="95" t="n">
        <v>13</v>
      </c>
      <c r="G20" s="96" t="n">
        <v>119.6</v>
      </c>
      <c r="H20" s="64" t="n">
        <v>2239625</v>
      </c>
      <c r="I20" s="95" t="n">
        <v>8</v>
      </c>
      <c r="J20" s="89" t="n">
        <v>0.665905631659056</v>
      </c>
      <c r="K20" s="93" t="n">
        <v>3500</v>
      </c>
      <c r="L20" s="93" t="n">
        <v>3500</v>
      </c>
      <c r="M20" s="3" t="s">
        <v>784</v>
      </c>
      <c r="N20" s="64" t="n">
        <v>71520.8</v>
      </c>
      <c r="O20" s="64" t="n">
        <v>40579.880584303</v>
      </c>
      <c r="P20" s="64" t="n">
        <v>339.296660403871</v>
      </c>
      <c r="Q20" s="64" t="n">
        <v>4207976.90115544</v>
      </c>
      <c r="R20" s="64" t="n">
        <v>5576527.20758171</v>
      </c>
      <c r="S20" s="64" t="n">
        <v>-475033.96512</v>
      </c>
      <c r="T20" s="97" t="n">
        <v>2.12607240614161</v>
      </c>
      <c r="U20" s="64" t="n">
        <v>2342059.01684617</v>
      </c>
      <c r="V20" s="64" t="n">
        <v>1272690.68440283</v>
      </c>
      <c r="W20" s="64" t="n">
        <v>3112855.54867612</v>
      </c>
      <c r="X20" s="64" t="n">
        <v>4239743.20758171</v>
      </c>
      <c r="Y20" s="64" t="n">
        <v>-689541.16512</v>
      </c>
      <c r="Z20" s="97" t="n">
        <v>1.72971183006608</v>
      </c>
      <c r="AA20" s="64" t="n">
        <v>2463409.71658966</v>
      </c>
      <c r="AB20" s="64" t="n">
        <v>1148739.53258651</v>
      </c>
      <c r="AC20" s="3" t="s">
        <v>786</v>
      </c>
      <c r="AD20" s="3" t="s">
        <v>786</v>
      </c>
    </row>
    <row r="21" customFormat="false" ht="15" hidden="false" customHeight="true" outlineLevel="0" collapsed="false">
      <c r="A21" s="95" t="n">
        <v>14</v>
      </c>
      <c r="B21" s="95" t="n">
        <v>9</v>
      </c>
      <c r="C21" s="95" t="n">
        <v>2</v>
      </c>
      <c r="D21" s="95" t="n">
        <v>1</v>
      </c>
      <c r="E21" s="95" t="n">
        <v>2</v>
      </c>
      <c r="F21" s="95" t="n">
        <v>14</v>
      </c>
      <c r="G21" s="96" t="n">
        <v>128.8</v>
      </c>
      <c r="H21" s="64" t="n">
        <v>2386000</v>
      </c>
      <c r="I21" s="95" t="n">
        <v>9</v>
      </c>
      <c r="J21" s="89" t="n">
        <v>0.665905631659056</v>
      </c>
      <c r="K21" s="93" t="n">
        <v>3500</v>
      </c>
      <c r="L21" s="93" t="n">
        <v>3500</v>
      </c>
      <c r="M21" s="3" t="s">
        <v>784</v>
      </c>
      <c r="N21" s="64" t="n">
        <v>77022.4</v>
      </c>
      <c r="O21" s="64" t="n">
        <v>40579.880584303</v>
      </c>
      <c r="P21" s="64" t="n">
        <v>315.061184660738</v>
      </c>
      <c r="Q21" s="64" t="n">
        <v>4231737.87401108</v>
      </c>
      <c r="R21" s="64" t="n">
        <v>5615717.60277704</v>
      </c>
      <c r="S21" s="64" t="n">
        <v>-475033.96512</v>
      </c>
      <c r="T21" s="97" t="n">
        <v>2.08546014160457</v>
      </c>
      <c r="U21" s="64" t="n">
        <v>2342059.01684617</v>
      </c>
      <c r="V21" s="64" t="n">
        <v>1272690.68440283</v>
      </c>
      <c r="W21" s="64" t="n">
        <v>3111829.86228737</v>
      </c>
      <c r="X21" s="64" t="n">
        <v>4243182.40277704</v>
      </c>
      <c r="Y21" s="64" t="n">
        <v>-689541.16512</v>
      </c>
      <c r="Z21" s="97" t="n">
        <v>1.70172969797008</v>
      </c>
      <c r="AA21" s="64" t="n">
        <v>2463409.71658966</v>
      </c>
      <c r="AB21" s="64" t="n">
        <v>1148739.53258651</v>
      </c>
      <c r="AC21" s="3" t="s">
        <v>786</v>
      </c>
      <c r="AD21" s="3" t="s">
        <v>786</v>
      </c>
    </row>
    <row r="22" customFormat="false" ht="15" hidden="false" customHeight="true" outlineLevel="0" collapsed="false">
      <c r="A22" s="95" t="n">
        <v>15</v>
      </c>
      <c r="B22" s="95" t="n">
        <v>10</v>
      </c>
      <c r="C22" s="95" t="n">
        <v>2</v>
      </c>
      <c r="D22" s="95" t="n">
        <v>1</v>
      </c>
      <c r="E22" s="95" t="n">
        <v>2</v>
      </c>
      <c r="F22" s="95" t="n">
        <v>15</v>
      </c>
      <c r="G22" s="96" t="n">
        <v>138</v>
      </c>
      <c r="H22" s="64" t="n">
        <v>2564000</v>
      </c>
      <c r="I22" s="95" t="n">
        <v>9</v>
      </c>
      <c r="J22" s="89" t="n">
        <v>0.665905631659056</v>
      </c>
      <c r="K22" s="93" t="n">
        <v>3500</v>
      </c>
      <c r="L22" s="93" t="n">
        <v>3500</v>
      </c>
      <c r="M22" s="3" t="s">
        <v>784</v>
      </c>
      <c r="N22" s="64" t="n">
        <v>82524</v>
      </c>
      <c r="O22" s="64" t="n">
        <v>40579.880584303</v>
      </c>
      <c r="P22" s="64" t="n">
        <v>294.057105683355</v>
      </c>
      <c r="Q22" s="64" t="n">
        <v>4500340.79804251</v>
      </c>
      <c r="R22" s="64" t="n">
        <v>5952166.19831579</v>
      </c>
      <c r="S22" s="64" t="n">
        <v>-512038.864992</v>
      </c>
      <c r="T22" s="97" t="n">
        <v>2.07177610528678</v>
      </c>
      <c r="U22" s="64" t="n">
        <v>2546970.18643724</v>
      </c>
      <c r="V22" s="64" t="n">
        <v>1388597.51710498</v>
      </c>
      <c r="W22" s="64" t="n">
        <v>3326466.65214543</v>
      </c>
      <c r="X22" s="64" t="n">
        <v>4508128.59831579</v>
      </c>
      <c r="Y22" s="64" t="n">
        <v>-726546.064992</v>
      </c>
      <c r="Z22" s="97" t="n">
        <v>1.69414685637023</v>
      </c>
      <c r="AA22" s="64" t="n">
        <v>2663882.81500978</v>
      </c>
      <c r="AB22" s="64" t="n">
        <v>1261334.52458524</v>
      </c>
      <c r="AC22" s="3" t="s">
        <v>786</v>
      </c>
      <c r="AD22" s="3" t="s">
        <v>786</v>
      </c>
    </row>
    <row r="23" customFormat="false" ht="15" hidden="false" customHeight="true" outlineLevel="0" collapsed="false">
      <c r="A23" s="95" t="n">
        <v>16</v>
      </c>
      <c r="B23" s="95" t="n">
        <v>11</v>
      </c>
      <c r="C23" s="95" t="n">
        <v>3</v>
      </c>
      <c r="D23" s="95" t="n">
        <v>1</v>
      </c>
      <c r="E23" s="95" t="n">
        <v>1</v>
      </c>
      <c r="F23" s="95" t="n">
        <v>16</v>
      </c>
      <c r="G23" s="96" t="n">
        <v>147.2</v>
      </c>
      <c r="H23" s="64" t="n">
        <v>2699250</v>
      </c>
      <c r="I23" s="95" t="n">
        <v>10</v>
      </c>
      <c r="J23" s="89" t="n">
        <v>0.665905631659056</v>
      </c>
      <c r="K23" s="93" t="n">
        <v>3500</v>
      </c>
      <c r="L23" s="93" t="n">
        <v>3500</v>
      </c>
      <c r="M23" s="3" t="s">
        <v>784</v>
      </c>
      <c r="N23" s="64" t="n">
        <v>88025.6</v>
      </c>
      <c r="O23" s="64" t="n">
        <v>40579.880584303</v>
      </c>
      <c r="P23" s="64" t="n">
        <v>275.678536578145</v>
      </c>
      <c r="Q23" s="64" t="n">
        <v>4826408.94629407</v>
      </c>
      <c r="R23" s="64" t="n">
        <v>6359176.74981336</v>
      </c>
      <c r="S23" s="64" t="n">
        <v>-541543.764864</v>
      </c>
      <c r="T23" s="97" t="n">
        <v>2.06467895910597</v>
      </c>
      <c r="U23" s="64" t="n">
        <v>2748066.66761953</v>
      </c>
      <c r="V23" s="64" t="n">
        <v>1509157.69867054</v>
      </c>
      <c r="W23" s="64" t="n">
        <v>3569389.19129463</v>
      </c>
      <c r="X23" s="64" t="n">
        <v>4807885.54981336</v>
      </c>
      <c r="Y23" s="64" t="n">
        <v>-756050.964864</v>
      </c>
      <c r="Z23" s="97" t="n">
        <v>1.68582253428201</v>
      </c>
      <c r="AA23" s="64" t="n">
        <v>2859691.86250313</v>
      </c>
      <c r="AB23" s="64" t="n">
        <v>1377949.04204737</v>
      </c>
      <c r="AC23" s="3" t="s">
        <v>786</v>
      </c>
      <c r="AD23" s="3" t="s">
        <v>786</v>
      </c>
    </row>
  </sheetData>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D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6"/>
    <col collapsed="false" customWidth="true" hidden="false" outlineLevel="0" max="30" min="2" style="1" width="14"/>
  </cols>
  <sheetData>
    <row r="1" customFormat="false" ht="15.75" hidden="false" customHeight="true" outlineLevel="0" collapsed="false">
      <c r="A1" s="2" t="s">
        <v>787</v>
      </c>
    </row>
    <row r="2" customFormat="false" ht="15" hidden="false" customHeight="true" outlineLevel="0" collapsed="false">
      <c r="A2" s="3" t="s">
        <v>750</v>
      </c>
    </row>
    <row r="3" customFormat="false" ht="15" hidden="false" customHeight="true" outlineLevel="0" collapsed="false">
      <c r="A3" s="3" t="s">
        <v>788</v>
      </c>
    </row>
    <row r="4" customFormat="false" ht="15" hidden="false" customHeight="true" outlineLevel="0" collapsed="false">
      <c r="A4" s="3" t="s">
        <v>789</v>
      </c>
    </row>
    <row r="5" customFormat="false" ht="15" hidden="false" customHeight="true" outlineLevel="0" collapsed="false">
      <c r="A5" s="3" t="s">
        <v>790</v>
      </c>
    </row>
    <row r="7" customFormat="false" ht="34.5" hidden="false" customHeight="true" outlineLevel="0" collapsed="false">
      <c r="A7" s="42" t="s">
        <v>791</v>
      </c>
      <c r="B7" s="42" t="s">
        <v>755</v>
      </c>
      <c r="C7" s="42" t="s">
        <v>756</v>
      </c>
      <c r="D7" s="42" t="s">
        <v>757</v>
      </c>
      <c r="E7" s="42" t="s">
        <v>758</v>
      </c>
      <c r="F7" s="42" t="s">
        <v>759</v>
      </c>
      <c r="G7" s="42" t="s">
        <v>760</v>
      </c>
      <c r="H7" s="42" t="s">
        <v>761</v>
      </c>
      <c r="I7" s="42" t="s">
        <v>762</v>
      </c>
      <c r="J7" s="42" t="s">
        <v>763</v>
      </c>
      <c r="K7" s="42" t="s">
        <v>764</v>
      </c>
      <c r="L7" s="42" t="s">
        <v>765</v>
      </c>
      <c r="M7" s="42" t="s">
        <v>766</v>
      </c>
      <c r="N7" s="42" t="s">
        <v>767</v>
      </c>
      <c r="O7" s="42" t="s">
        <v>768</v>
      </c>
      <c r="P7" s="42" t="s">
        <v>769</v>
      </c>
      <c r="Q7" s="42" t="s">
        <v>770</v>
      </c>
      <c r="R7" s="42" t="s">
        <v>771</v>
      </c>
      <c r="S7" s="42" t="s">
        <v>772</v>
      </c>
      <c r="T7" s="42" t="s">
        <v>773</v>
      </c>
      <c r="U7" s="42" t="s">
        <v>774</v>
      </c>
      <c r="V7" s="42" t="s">
        <v>775</v>
      </c>
      <c r="W7" s="42" t="s">
        <v>776</v>
      </c>
      <c r="X7" s="42" t="s">
        <v>777</v>
      </c>
      <c r="Y7" s="42" t="s">
        <v>778</v>
      </c>
      <c r="Z7" s="42" t="s">
        <v>779</v>
      </c>
      <c r="AA7" s="42" t="s">
        <v>780</v>
      </c>
      <c r="AB7" s="42" t="s">
        <v>781</v>
      </c>
      <c r="AC7" s="42" t="s">
        <v>782</v>
      </c>
      <c r="AD7" s="42" t="s">
        <v>783</v>
      </c>
    </row>
    <row r="8" customFormat="false" ht="15" hidden="false" customHeight="true" outlineLevel="0" collapsed="false">
      <c r="A8" s="95" t="n">
        <v>1</v>
      </c>
      <c r="B8" s="95" t="n">
        <v>1</v>
      </c>
      <c r="C8" s="95" t="n">
        <v>7</v>
      </c>
      <c r="D8" s="95" t="n">
        <v>0</v>
      </c>
      <c r="E8" s="95" t="n">
        <v>4</v>
      </c>
      <c r="F8" s="95" t="n">
        <v>12</v>
      </c>
      <c r="G8" s="96" t="n">
        <v>110.4</v>
      </c>
      <c r="H8" s="64" t="n">
        <v>1518875</v>
      </c>
      <c r="I8" s="95" t="n">
        <v>8</v>
      </c>
      <c r="J8" s="89" t="n">
        <v>0.665905631659056</v>
      </c>
      <c r="K8" s="93" t="n">
        <v>3500</v>
      </c>
      <c r="L8" s="93" t="n">
        <v>3500</v>
      </c>
      <c r="M8" s="3" t="s">
        <v>784</v>
      </c>
      <c r="N8" s="64" t="n">
        <v>66019.2</v>
      </c>
      <c r="O8" s="64" t="n">
        <v>40579.880584303</v>
      </c>
      <c r="P8" s="64" t="n">
        <v>367.571382104194</v>
      </c>
      <c r="Q8" s="64" t="n">
        <v>2503905.40790509</v>
      </c>
      <c r="R8" s="64" t="n">
        <v>3526404.85126261</v>
      </c>
      <c r="S8" s="64" t="n">
        <v>-201494.766144</v>
      </c>
      <c r="T8" s="97" t="n">
        <v>2.06919556167099</v>
      </c>
      <c r="U8" s="64" t="n">
        <v>1161074.92524637</v>
      </c>
      <c r="V8" s="64" t="n">
        <v>350000</v>
      </c>
      <c r="W8" s="64" t="n">
        <v>1433570.71467017</v>
      </c>
      <c r="X8" s="64" t="n">
        <v>2225372.05126261</v>
      </c>
      <c r="Y8" s="64" t="n">
        <v>-573782.1711144</v>
      </c>
      <c r="Z8" s="97" t="n">
        <v>1.58048580614926</v>
      </c>
      <c r="AA8" s="64" t="n">
        <v>3870010.68388573</v>
      </c>
      <c r="AB8" s="64" t="n">
        <v>-137764.64894728</v>
      </c>
      <c r="AC8" s="3" t="s">
        <v>785</v>
      </c>
      <c r="AD8" s="3" t="s">
        <v>785</v>
      </c>
    </row>
    <row r="9" customFormat="false" ht="15" hidden="false" customHeight="true" outlineLevel="0" collapsed="false">
      <c r="A9" s="95" t="n">
        <v>2</v>
      </c>
      <c r="B9" s="95" t="n">
        <v>2</v>
      </c>
      <c r="C9" s="95" t="n">
        <v>7</v>
      </c>
      <c r="D9" s="95" t="n">
        <v>0</v>
      </c>
      <c r="E9" s="95" t="n">
        <v>3</v>
      </c>
      <c r="F9" s="95" t="n">
        <v>12</v>
      </c>
      <c r="G9" s="96" t="n">
        <v>110.4</v>
      </c>
      <c r="H9" s="64" t="n">
        <v>1550500</v>
      </c>
      <c r="I9" s="95" t="n">
        <v>8</v>
      </c>
      <c r="J9" s="89" t="n">
        <v>0.665905631659056</v>
      </c>
      <c r="K9" s="93" t="n">
        <v>3500</v>
      </c>
      <c r="L9" s="93" t="n">
        <v>3500</v>
      </c>
      <c r="M9" s="3" t="s">
        <v>784</v>
      </c>
      <c r="N9" s="64" t="n">
        <v>66019.2</v>
      </c>
      <c r="O9" s="64" t="n">
        <v>40579.880584303</v>
      </c>
      <c r="P9" s="64" t="n">
        <v>367.571382104194</v>
      </c>
      <c r="Q9" s="64" t="n">
        <v>2735362.64292985</v>
      </c>
      <c r="R9" s="64" t="n">
        <v>3805198.0674589</v>
      </c>
      <c r="S9" s="64" t="n">
        <v>-238499.666016</v>
      </c>
      <c r="T9" s="97" t="n">
        <v>2.09468701456897</v>
      </c>
      <c r="U9" s="64" t="n">
        <v>998535.536711652</v>
      </c>
      <c r="V9" s="64" t="n">
        <v>474441.371432348</v>
      </c>
      <c r="W9" s="64" t="n">
        <v>1665027.94969493</v>
      </c>
      <c r="X9" s="64" t="n">
        <v>2504165.2674589</v>
      </c>
      <c r="Y9" s="64" t="n">
        <v>-453006.866016</v>
      </c>
      <c r="Z9" s="97" t="n">
        <v>1.613875632905</v>
      </c>
      <c r="AA9" s="64" t="n">
        <v>3182484.26405831</v>
      </c>
      <c r="AB9" s="64" t="n">
        <v>350000</v>
      </c>
      <c r="AC9" s="3" t="s">
        <v>785</v>
      </c>
      <c r="AD9" s="3" t="s">
        <v>785</v>
      </c>
    </row>
    <row r="10" customFormat="false" ht="15" hidden="false" customHeight="true" outlineLevel="0" collapsed="false">
      <c r="A10" s="95" t="n">
        <v>3</v>
      </c>
      <c r="B10" s="95" t="n">
        <v>3</v>
      </c>
      <c r="C10" s="95" t="n">
        <v>6</v>
      </c>
      <c r="D10" s="95" t="n">
        <v>0</v>
      </c>
      <c r="E10" s="95" t="n">
        <v>3</v>
      </c>
      <c r="F10" s="95" t="n">
        <v>12</v>
      </c>
      <c r="G10" s="96" t="n">
        <v>110.4</v>
      </c>
      <c r="H10" s="64" t="n">
        <v>1624875</v>
      </c>
      <c r="I10" s="95" t="n">
        <v>8</v>
      </c>
      <c r="J10" s="89" t="n">
        <v>0.665905631659056</v>
      </c>
      <c r="K10" s="93" t="n">
        <v>3500</v>
      </c>
      <c r="L10" s="93" t="n">
        <v>3500</v>
      </c>
      <c r="M10" s="3" t="s">
        <v>784</v>
      </c>
      <c r="N10" s="64" t="n">
        <v>66019.2</v>
      </c>
      <c r="O10" s="64" t="n">
        <v>40579.880584303</v>
      </c>
      <c r="P10" s="64" t="n">
        <v>367.571382104194</v>
      </c>
      <c r="Q10" s="64" t="n">
        <v>2904573.14308988</v>
      </c>
      <c r="R10" s="64" t="n">
        <v>3999483.5811885</v>
      </c>
      <c r="S10" s="64" t="n">
        <v>-268004.565888</v>
      </c>
      <c r="T10" s="97" t="n">
        <v>2.10524577636921</v>
      </c>
      <c r="U10" s="64" t="n">
        <v>1151875.16042533</v>
      </c>
      <c r="V10" s="64" t="n">
        <v>591564.1283968</v>
      </c>
      <c r="W10" s="64" t="n">
        <v>1834238.44985495</v>
      </c>
      <c r="X10" s="64" t="n">
        <v>2698450.7811885</v>
      </c>
      <c r="Y10" s="64" t="n">
        <v>-482511.765888</v>
      </c>
      <c r="Z10" s="97" t="n">
        <v>1.63333196739948</v>
      </c>
      <c r="AA10" s="64" t="n">
        <v>2369933.46279172</v>
      </c>
      <c r="AB10" s="64" t="n">
        <v>350000</v>
      </c>
      <c r="AC10" s="3" t="s">
        <v>785</v>
      </c>
      <c r="AD10" s="3" t="s">
        <v>785</v>
      </c>
    </row>
    <row r="11" customFormat="false" ht="15" hidden="false" customHeight="true" outlineLevel="0" collapsed="false">
      <c r="A11" s="95" t="n">
        <v>4</v>
      </c>
      <c r="B11" s="95" t="n">
        <v>4</v>
      </c>
      <c r="C11" s="95" t="n">
        <v>5</v>
      </c>
      <c r="D11" s="95" t="n">
        <v>0</v>
      </c>
      <c r="E11" s="95" t="n">
        <v>3</v>
      </c>
      <c r="F11" s="95" t="n">
        <v>12</v>
      </c>
      <c r="G11" s="96" t="n">
        <v>110.4</v>
      </c>
      <c r="H11" s="64" t="n">
        <v>1699250</v>
      </c>
      <c r="I11" s="95" t="n">
        <v>8</v>
      </c>
      <c r="J11" s="89" t="n">
        <v>0.665905631659056</v>
      </c>
      <c r="K11" s="93" t="n">
        <v>3500</v>
      </c>
      <c r="L11" s="93" t="n">
        <v>3500</v>
      </c>
      <c r="M11" s="3" t="s">
        <v>784</v>
      </c>
      <c r="N11" s="64" t="n">
        <v>66019.2</v>
      </c>
      <c r="O11" s="64" t="n">
        <v>40579.880584303</v>
      </c>
      <c r="P11" s="64" t="n">
        <v>367.571382104194</v>
      </c>
      <c r="Q11" s="64" t="n">
        <v>3059371.20085359</v>
      </c>
      <c r="R11" s="64" t="n">
        <v>4178769.0949181</v>
      </c>
      <c r="S11" s="64" t="n">
        <v>-305009.46576</v>
      </c>
      <c r="T11" s="97" t="n">
        <v>2.10829430580089</v>
      </c>
      <c r="U11" s="64" t="n">
        <v>1336975.99234772</v>
      </c>
      <c r="V11" s="64" t="n">
        <v>692687.808663476</v>
      </c>
      <c r="W11" s="64" t="n">
        <v>1989036.50761867</v>
      </c>
      <c r="X11" s="64" t="n">
        <v>2877736.2949181</v>
      </c>
      <c r="Y11" s="64" t="n">
        <v>-519516.66576</v>
      </c>
      <c r="Z11" s="97" t="n">
        <v>1.64769145491032</v>
      </c>
      <c r="AA11" s="64" t="n">
        <v>1620222.32446023</v>
      </c>
      <c r="AB11" s="64" t="n">
        <v>350000</v>
      </c>
      <c r="AC11" s="3" t="s">
        <v>785</v>
      </c>
      <c r="AD11" s="3" t="s">
        <v>785</v>
      </c>
    </row>
    <row r="12" customFormat="false" ht="15" hidden="false" customHeight="true" outlineLevel="0" collapsed="false">
      <c r="A12" s="95" t="n">
        <v>5</v>
      </c>
      <c r="B12" s="95" t="n">
        <v>5</v>
      </c>
      <c r="C12" s="95" t="n">
        <v>5</v>
      </c>
      <c r="D12" s="95" t="n">
        <v>0</v>
      </c>
      <c r="E12" s="95" t="n">
        <v>2</v>
      </c>
      <c r="F12" s="95" t="n">
        <v>12</v>
      </c>
      <c r="G12" s="96" t="n">
        <v>110.4</v>
      </c>
      <c r="H12" s="64" t="n">
        <v>1730875</v>
      </c>
      <c r="I12" s="95" t="n">
        <v>8</v>
      </c>
      <c r="J12" s="89" t="n">
        <v>0.665905631659056</v>
      </c>
      <c r="K12" s="93" t="n">
        <v>3500</v>
      </c>
      <c r="L12" s="93" t="n">
        <v>3500</v>
      </c>
      <c r="M12" s="3" t="s">
        <v>784</v>
      </c>
      <c r="N12" s="64" t="n">
        <v>66019.2</v>
      </c>
      <c r="O12" s="64" t="n">
        <v>40579.880584303</v>
      </c>
      <c r="P12" s="64" t="n">
        <v>367.571382104194</v>
      </c>
      <c r="Q12" s="64" t="n">
        <v>3296700.24661657</v>
      </c>
      <c r="R12" s="64" t="n">
        <v>4465062.31111439</v>
      </c>
      <c r="S12" s="64" t="n">
        <v>-342014.365632</v>
      </c>
      <c r="T12" s="97" t="n">
        <v>2.13348577827348</v>
      </c>
      <c r="U12" s="64" t="n">
        <v>1537449.09076784</v>
      </c>
      <c r="V12" s="64" t="n">
        <v>805282.800662213</v>
      </c>
      <c r="W12" s="64" t="n">
        <v>2226365.55338166</v>
      </c>
      <c r="X12" s="64" t="n">
        <v>3164029.51111439</v>
      </c>
      <c r="Y12" s="64" t="n">
        <v>-556521.565632</v>
      </c>
      <c r="Z12" s="97" t="n">
        <v>1.6789716951294</v>
      </c>
      <c r="AA12" s="64" t="n">
        <v>1719975.16211004</v>
      </c>
      <c r="AB12" s="64" t="n">
        <v>537925.719371765</v>
      </c>
      <c r="AC12" s="3" t="s">
        <v>785</v>
      </c>
      <c r="AD12" s="3" t="s">
        <v>785</v>
      </c>
    </row>
    <row r="13" customFormat="false" ht="15" hidden="false" customHeight="true" outlineLevel="0" collapsed="false">
      <c r="A13" s="95" t="n">
        <v>6</v>
      </c>
      <c r="B13" s="95" t="n">
        <v>6</v>
      </c>
      <c r="C13" s="95" t="n">
        <v>4</v>
      </c>
      <c r="D13" s="95" t="n">
        <v>0</v>
      </c>
      <c r="E13" s="95" t="n">
        <v>2</v>
      </c>
      <c r="F13" s="95" t="n">
        <v>12</v>
      </c>
      <c r="G13" s="96" t="n">
        <v>110.4</v>
      </c>
      <c r="H13" s="64" t="n">
        <v>1805250</v>
      </c>
      <c r="I13" s="95" t="n">
        <v>8</v>
      </c>
      <c r="J13" s="89" t="n">
        <v>0.665905631659056</v>
      </c>
      <c r="K13" s="93" t="n">
        <v>3500</v>
      </c>
      <c r="L13" s="93" t="n">
        <v>3500</v>
      </c>
      <c r="M13" s="3" t="s">
        <v>784</v>
      </c>
      <c r="N13" s="64" t="n">
        <v>66019.2</v>
      </c>
      <c r="O13" s="64" t="n">
        <v>40579.880584303</v>
      </c>
      <c r="P13" s="64" t="n">
        <v>367.571382104194</v>
      </c>
      <c r="Q13" s="64" t="n">
        <v>3465910.7467766</v>
      </c>
      <c r="R13" s="64" t="n">
        <v>4659347.82484399</v>
      </c>
      <c r="S13" s="64" t="n">
        <v>-371519.265504</v>
      </c>
      <c r="T13" s="97" t="n">
        <v>2.14203906416396</v>
      </c>
      <c r="U13" s="64" t="n">
        <v>1733258.13826119</v>
      </c>
      <c r="V13" s="64" t="n">
        <v>921897.318124341</v>
      </c>
      <c r="W13" s="64" t="n">
        <v>2395576.05354168</v>
      </c>
      <c r="X13" s="64" t="n">
        <v>3358315.02484399</v>
      </c>
      <c r="Y13" s="64" t="n">
        <v>-586026.465504</v>
      </c>
      <c r="Z13" s="97" t="n">
        <v>1.69564205443981</v>
      </c>
      <c r="AA13" s="64" t="n">
        <v>1875349.67445376</v>
      </c>
      <c r="AB13" s="64" t="n">
        <v>768972.148108166</v>
      </c>
      <c r="AC13" s="3" t="s">
        <v>785</v>
      </c>
      <c r="AD13" s="3" t="s">
        <v>785</v>
      </c>
    </row>
    <row r="14" customFormat="false" ht="15" hidden="false" customHeight="true" outlineLevel="0" collapsed="false">
      <c r="A14" s="95" t="n">
        <v>7</v>
      </c>
      <c r="B14" s="95" t="n">
        <v>7</v>
      </c>
      <c r="C14" s="95" t="n">
        <v>3</v>
      </c>
      <c r="D14" s="95" t="n">
        <v>0</v>
      </c>
      <c r="E14" s="95" t="n">
        <v>2</v>
      </c>
      <c r="F14" s="95" t="n">
        <v>12</v>
      </c>
      <c r="G14" s="96" t="n">
        <v>110.4</v>
      </c>
      <c r="H14" s="64" t="n">
        <v>1879625</v>
      </c>
      <c r="I14" s="95" t="n">
        <v>8</v>
      </c>
      <c r="J14" s="89" t="n">
        <v>0.665905631659056</v>
      </c>
      <c r="K14" s="93" t="n">
        <v>3500</v>
      </c>
      <c r="L14" s="93" t="n">
        <v>3500</v>
      </c>
      <c r="M14" s="3" t="s">
        <v>784</v>
      </c>
      <c r="N14" s="64" t="n">
        <v>66019.2</v>
      </c>
      <c r="O14" s="64" t="n">
        <v>40579.880584303</v>
      </c>
      <c r="P14" s="64" t="n">
        <v>367.571382104194</v>
      </c>
      <c r="Q14" s="64" t="n">
        <v>3620708.80454031</v>
      </c>
      <c r="R14" s="64" t="n">
        <v>4838633.33857359</v>
      </c>
      <c r="S14" s="64" t="n">
        <v>-408524.165376</v>
      </c>
      <c r="T14" s="97" t="n">
        <v>2.1437329780697</v>
      </c>
      <c r="U14" s="64" t="n">
        <v>1936051.36607281</v>
      </c>
      <c r="V14" s="64" t="n">
        <v>1036223.67013512</v>
      </c>
      <c r="W14" s="64" t="n">
        <v>2550374.11130539</v>
      </c>
      <c r="X14" s="64" t="n">
        <v>3537600.53857359</v>
      </c>
      <c r="Y14" s="64" t="n">
        <v>-623031.365376</v>
      </c>
      <c r="Z14" s="97" t="n">
        <v>1.70754283622459</v>
      </c>
      <c r="AA14" s="64" t="n">
        <v>2068082.46428803</v>
      </c>
      <c r="AB14" s="64" t="n">
        <v>920242.597442124</v>
      </c>
      <c r="AC14" s="3" t="s">
        <v>785</v>
      </c>
      <c r="AD14" s="3" t="s">
        <v>785</v>
      </c>
    </row>
    <row r="15" customFormat="false" ht="15" hidden="false" customHeight="true" outlineLevel="0" collapsed="false">
      <c r="A15" s="95" t="n">
        <v>8</v>
      </c>
      <c r="B15" s="95" t="n">
        <v>8</v>
      </c>
      <c r="C15" s="95" t="n">
        <v>3</v>
      </c>
      <c r="D15" s="95" t="n">
        <v>0</v>
      </c>
      <c r="E15" s="95" t="n">
        <v>1</v>
      </c>
      <c r="F15" s="95" t="n">
        <v>12</v>
      </c>
      <c r="G15" s="96" t="n">
        <v>110.4</v>
      </c>
      <c r="H15" s="64" t="n">
        <v>1911250</v>
      </c>
      <c r="I15" s="95" t="n">
        <v>8</v>
      </c>
      <c r="J15" s="89" t="n">
        <v>0.665905631659056</v>
      </c>
      <c r="K15" s="93" t="n">
        <v>3500</v>
      </c>
      <c r="L15" s="93" t="n">
        <v>3500</v>
      </c>
      <c r="M15" s="3" t="s">
        <v>784</v>
      </c>
      <c r="N15" s="64" t="n">
        <v>66019.2</v>
      </c>
      <c r="O15" s="64" t="n">
        <v>40579.880584303</v>
      </c>
      <c r="P15" s="64" t="n">
        <v>367.571382104194</v>
      </c>
      <c r="Q15" s="64" t="n">
        <v>3872949.39661237</v>
      </c>
      <c r="R15" s="64" t="n">
        <v>5139926.55476988</v>
      </c>
      <c r="S15" s="64" t="n">
        <v>-438029.065248</v>
      </c>
      <c r="T15" s="97" t="n">
        <v>2.17206904576382</v>
      </c>
      <c r="U15" s="64" t="n">
        <v>2137147.8472551</v>
      </c>
      <c r="V15" s="64" t="n">
        <v>1156783.85170068</v>
      </c>
      <c r="W15" s="64" t="n">
        <v>2802614.70337745</v>
      </c>
      <c r="X15" s="64" t="n">
        <v>3838893.75476988</v>
      </c>
      <c r="Y15" s="64" t="n">
        <v>-652536.265248</v>
      </c>
      <c r="Z15" s="97" t="n">
        <v>1.73936560100411</v>
      </c>
      <c r="AA15" s="64" t="n">
        <v>2262936.61816953</v>
      </c>
      <c r="AB15" s="64" t="n">
        <v>1036144.54058777</v>
      </c>
      <c r="AC15" s="3" t="s">
        <v>785</v>
      </c>
      <c r="AD15" s="3" t="s">
        <v>785</v>
      </c>
    </row>
    <row r="16" customFormat="false" ht="15" hidden="false" customHeight="true" outlineLevel="0" collapsed="false">
      <c r="A16" s="95" t="n">
        <v>9</v>
      </c>
      <c r="B16" s="95" t="n">
        <v>9</v>
      </c>
      <c r="C16" s="95" t="n">
        <v>2</v>
      </c>
      <c r="D16" s="95" t="n">
        <v>0</v>
      </c>
      <c r="E16" s="95" t="n">
        <v>1</v>
      </c>
      <c r="F16" s="95" t="n">
        <v>12</v>
      </c>
      <c r="G16" s="96" t="n">
        <v>110.4</v>
      </c>
      <c r="H16" s="64" t="n">
        <v>1985625</v>
      </c>
      <c r="I16" s="95" t="n">
        <v>8</v>
      </c>
      <c r="J16" s="89" t="n">
        <v>0.665905631659056</v>
      </c>
      <c r="K16" s="93" t="n">
        <v>3500</v>
      </c>
      <c r="L16" s="93" t="n">
        <v>3500</v>
      </c>
      <c r="M16" s="3" t="s">
        <v>784</v>
      </c>
      <c r="N16" s="64" t="n">
        <v>66019.2</v>
      </c>
      <c r="O16" s="64" t="n">
        <v>40579.880584303</v>
      </c>
      <c r="P16" s="64" t="n">
        <v>367.571382104194</v>
      </c>
      <c r="Q16" s="64" t="n">
        <v>4027747.45437608</v>
      </c>
      <c r="R16" s="64" t="n">
        <v>5319212.06849948</v>
      </c>
      <c r="S16" s="64" t="n">
        <v>-475033.96512</v>
      </c>
      <c r="T16" s="97" t="n">
        <v>2.17282886946967</v>
      </c>
      <c r="U16" s="64" t="n">
        <v>2342059.01684617</v>
      </c>
      <c r="V16" s="64" t="n">
        <v>1272690.68440283</v>
      </c>
      <c r="W16" s="64" t="n">
        <v>2957412.76114116</v>
      </c>
      <c r="X16" s="64" t="n">
        <v>4018179.26849948</v>
      </c>
      <c r="Y16" s="64" t="n">
        <v>-689541.16512</v>
      </c>
      <c r="Z16" s="97" t="n">
        <v>1.74976472012299</v>
      </c>
      <c r="AA16" s="64" t="n">
        <v>2463409.71658966</v>
      </c>
      <c r="AB16" s="64" t="n">
        <v>1148739.53258651</v>
      </c>
      <c r="AC16" s="3" t="s">
        <v>785</v>
      </c>
      <c r="AD16" s="3" t="s">
        <v>785</v>
      </c>
    </row>
    <row r="17" customFormat="false" ht="15" hidden="false" customHeight="true" outlineLevel="0" collapsed="false">
      <c r="A17" s="95" t="n">
        <v>10</v>
      </c>
      <c r="B17" s="95" t="n">
        <v>10</v>
      </c>
      <c r="C17" s="95" t="n">
        <v>1</v>
      </c>
      <c r="D17" s="95" t="n">
        <v>0</v>
      </c>
      <c r="E17" s="95" t="n">
        <v>1</v>
      </c>
      <c r="F17" s="95" t="n">
        <v>12</v>
      </c>
      <c r="G17" s="96" t="n">
        <v>110.4</v>
      </c>
      <c r="H17" s="64" t="n">
        <v>2060000</v>
      </c>
      <c r="I17" s="95" t="n">
        <v>8</v>
      </c>
      <c r="J17" s="89" t="n">
        <v>0.665905631659056</v>
      </c>
      <c r="K17" s="93" t="n">
        <v>3500</v>
      </c>
      <c r="L17" s="93" t="n">
        <v>3500</v>
      </c>
      <c r="M17" s="3" t="s">
        <v>784</v>
      </c>
      <c r="N17" s="64" t="n">
        <v>66019.2</v>
      </c>
      <c r="O17" s="64" t="n">
        <v>40579.880584303</v>
      </c>
      <c r="P17" s="64" t="n">
        <v>367.571382104194</v>
      </c>
      <c r="Q17" s="64" t="n">
        <v>4182545.51213979</v>
      </c>
      <c r="R17" s="64" t="n">
        <v>5498497.58222908</v>
      </c>
      <c r="S17" s="64" t="n">
        <v>-512038.864992</v>
      </c>
      <c r="T17" s="97" t="n">
        <v>2.17354717594703</v>
      </c>
      <c r="U17" s="64" t="n">
        <v>2546970.18643724</v>
      </c>
      <c r="V17" s="64" t="n">
        <v>1388597.51710498</v>
      </c>
      <c r="W17" s="64" t="n">
        <v>3112210.81890487</v>
      </c>
      <c r="X17" s="64" t="n">
        <v>4197464.78222908</v>
      </c>
      <c r="Y17" s="64" t="n">
        <v>-726546.064992</v>
      </c>
      <c r="Z17" s="97" t="n">
        <v>1.75970381303601</v>
      </c>
      <c r="AA17" s="64" t="n">
        <v>2663882.81500978</v>
      </c>
      <c r="AB17" s="64" t="n">
        <v>1261334.52458524</v>
      </c>
      <c r="AC17" s="3" t="s">
        <v>785</v>
      </c>
      <c r="AD17" s="3" t="s">
        <v>786</v>
      </c>
    </row>
    <row r="18" customFormat="false" ht="15" hidden="false" customHeight="true" outlineLevel="0" collapsed="false">
      <c r="A18" s="95" t="n">
        <v>11</v>
      </c>
      <c r="B18" s="95" t="n">
        <v>11</v>
      </c>
      <c r="C18" s="95" t="n">
        <v>1</v>
      </c>
      <c r="D18" s="95" t="n">
        <v>0</v>
      </c>
      <c r="E18" s="95" t="n">
        <v>0</v>
      </c>
      <c r="F18" s="95" t="n">
        <v>12</v>
      </c>
      <c r="G18" s="96" t="n">
        <v>110.4</v>
      </c>
      <c r="H18" s="64" t="n">
        <v>2091625</v>
      </c>
      <c r="I18" s="95" t="n">
        <v>8</v>
      </c>
      <c r="J18" s="89" t="n">
        <v>0.665905631659056</v>
      </c>
      <c r="K18" s="93" t="n">
        <v>3500</v>
      </c>
      <c r="L18" s="93" t="n">
        <v>3500</v>
      </c>
      <c r="M18" s="3" t="s">
        <v>784</v>
      </c>
      <c r="N18" s="64" t="n">
        <v>66019.2</v>
      </c>
      <c r="O18" s="64" t="n">
        <v>40579.880584303</v>
      </c>
      <c r="P18" s="64" t="n">
        <v>367.571382104194</v>
      </c>
      <c r="Q18" s="64" t="n">
        <v>4428415.18956086</v>
      </c>
      <c r="R18" s="64" t="n">
        <v>5792290.79842537</v>
      </c>
      <c r="S18" s="64" t="n">
        <v>-541543.764864</v>
      </c>
      <c r="T18" s="97" t="n">
        <v>2.19603282022011</v>
      </c>
      <c r="U18" s="64" t="n">
        <v>2748066.66761953</v>
      </c>
      <c r="V18" s="64" t="n">
        <v>1509157.69867054</v>
      </c>
      <c r="W18" s="64" t="n">
        <v>3358080.49632595</v>
      </c>
      <c r="X18" s="64" t="n">
        <v>4491257.99842537</v>
      </c>
      <c r="Y18" s="64" t="n">
        <v>-756050.964864</v>
      </c>
      <c r="Z18" s="97" t="n">
        <v>1.78655566198968</v>
      </c>
      <c r="AA18" s="64" t="n">
        <v>2859691.86250313</v>
      </c>
      <c r="AB18" s="64" t="n">
        <v>1377949.04204737</v>
      </c>
      <c r="AC18" s="3" t="s">
        <v>785</v>
      </c>
      <c r="AD18" s="3" t="s">
        <v>786</v>
      </c>
    </row>
    <row r="19" customFormat="false" ht="15" hidden="false" customHeight="true" outlineLevel="0" collapsed="false">
      <c r="A19" s="98" t="n">
        <v>12</v>
      </c>
      <c r="B19" s="98" t="n">
        <v>12</v>
      </c>
      <c r="C19" s="98" t="n">
        <v>0</v>
      </c>
      <c r="D19" s="98" t="n">
        <v>0</v>
      </c>
      <c r="E19" s="98" t="n">
        <v>0</v>
      </c>
      <c r="F19" s="98" t="n">
        <v>12</v>
      </c>
      <c r="G19" s="99" t="n">
        <v>110.4</v>
      </c>
      <c r="H19" s="100" t="n">
        <v>2166000</v>
      </c>
      <c r="I19" s="98" t="n">
        <v>8</v>
      </c>
      <c r="J19" s="101" t="n">
        <v>0.665905631659056</v>
      </c>
      <c r="K19" s="102" t="n">
        <v>3500</v>
      </c>
      <c r="L19" s="102" t="n">
        <v>3500</v>
      </c>
      <c r="M19" s="13" t="s">
        <v>784</v>
      </c>
      <c r="N19" s="100" t="n">
        <v>66019.2</v>
      </c>
      <c r="O19" s="100" t="n">
        <v>40579.880584303</v>
      </c>
      <c r="P19" s="100" t="n">
        <v>367.571382104194</v>
      </c>
      <c r="Q19" s="100" t="n">
        <v>4583213.24732458</v>
      </c>
      <c r="R19" s="100" t="n">
        <v>5971576.31215497</v>
      </c>
      <c r="S19" s="100" t="n">
        <v>-578548.664736</v>
      </c>
      <c r="T19" s="103" t="n">
        <v>2.19611291048496</v>
      </c>
      <c r="U19" s="100" t="n">
        <v>2952977.8372106</v>
      </c>
      <c r="V19" s="100" t="n">
        <v>1625064.5313727</v>
      </c>
      <c r="W19" s="100" t="n">
        <v>3512878.55408966</v>
      </c>
      <c r="X19" s="100" t="n">
        <v>4670543.51215497</v>
      </c>
      <c r="Y19" s="100" t="n">
        <v>-793055.864736</v>
      </c>
      <c r="Z19" s="103" t="n">
        <v>1.79530279537402</v>
      </c>
      <c r="AA19" s="100" t="n">
        <v>3062081.58780243</v>
      </c>
      <c r="AB19" s="100" t="n">
        <v>1491974.28666425</v>
      </c>
      <c r="AC19" s="13" t="s">
        <v>785</v>
      </c>
      <c r="AD19" s="13" t="s">
        <v>786</v>
      </c>
    </row>
  </sheetData>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4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46"/>
    <col collapsed="false" customWidth="true" hidden="false" outlineLevel="0" max="5" min="2" style="1" width="16"/>
  </cols>
  <sheetData>
    <row r="1" customFormat="false" ht="15.75" hidden="false" customHeight="true" outlineLevel="0" collapsed="false">
      <c r="A1" s="2" t="s">
        <v>792</v>
      </c>
    </row>
    <row r="2" customFormat="false" ht="15" hidden="false" customHeight="true" outlineLevel="0" collapsed="false">
      <c r="A2" s="3" t="s">
        <v>793</v>
      </c>
    </row>
    <row r="3" customFormat="false" ht="15" hidden="false" customHeight="true" outlineLevel="0" collapsed="false">
      <c r="A3" s="3" t="s">
        <v>794</v>
      </c>
    </row>
    <row r="4" customFormat="false" ht="15" hidden="false" customHeight="true" outlineLevel="0" collapsed="false">
      <c r="A4" s="3" t="s">
        <v>795</v>
      </c>
    </row>
    <row r="5" customFormat="false" ht="15" hidden="false" customHeight="true" outlineLevel="0" collapsed="false">
      <c r="A5" s="3" t="s">
        <v>796</v>
      </c>
    </row>
    <row r="6" customFormat="false" ht="15" hidden="false" customHeight="true" outlineLevel="0" collapsed="false">
      <c r="A6" s="3" t="s">
        <v>797</v>
      </c>
    </row>
    <row r="7" customFormat="false" ht="15" hidden="false" customHeight="true" outlineLevel="0" collapsed="false">
      <c r="A7" s="3" t="s">
        <v>798</v>
      </c>
    </row>
    <row r="8" customFormat="false" ht="15" hidden="false" customHeight="true" outlineLevel="0" collapsed="false">
      <c r="A8" s="3" t="s">
        <v>799</v>
      </c>
    </row>
    <row r="10" customFormat="false" ht="15" hidden="false" customHeight="true" outlineLevel="0" collapsed="false">
      <c r="A10" s="6" t="s">
        <v>800</v>
      </c>
      <c r="B10" s="42" t="s">
        <v>801</v>
      </c>
      <c r="C10" s="42" t="s">
        <v>802</v>
      </c>
      <c r="D10" s="42" t="s">
        <v>803</v>
      </c>
      <c r="E10" s="42" t="s">
        <v>804</v>
      </c>
    </row>
    <row r="11" customFormat="false" ht="15" hidden="false" customHeight="true" outlineLevel="0" collapsed="false">
      <c r="A11" s="104" t="s">
        <v>805</v>
      </c>
    </row>
    <row r="12" customFormat="false" ht="15" hidden="false" customHeight="true" outlineLevel="0" collapsed="false">
      <c r="A12" s="3" t="s">
        <v>806</v>
      </c>
      <c r="B12" s="105" t="s">
        <v>807</v>
      </c>
      <c r="C12" s="3" t="s">
        <v>807</v>
      </c>
      <c r="D12" s="3" t="s">
        <v>808</v>
      </c>
      <c r="E12" s="3" t="s">
        <v>808</v>
      </c>
    </row>
    <row r="13" customFormat="false" ht="15" hidden="false" customHeight="true" outlineLevel="0" collapsed="false">
      <c r="A13" s="3" t="s">
        <v>809</v>
      </c>
      <c r="B13" s="105" t="s">
        <v>810</v>
      </c>
      <c r="C13" s="3" t="s">
        <v>811</v>
      </c>
      <c r="D13" s="3" t="s">
        <v>811</v>
      </c>
      <c r="E13" s="3" t="s">
        <v>810</v>
      </c>
    </row>
    <row r="14" customFormat="false" ht="15" hidden="false" customHeight="true" outlineLevel="0" collapsed="false">
      <c r="A14" s="3" t="s">
        <v>812</v>
      </c>
      <c r="B14" s="105" t="s">
        <v>813</v>
      </c>
      <c r="C14" s="3" t="s">
        <v>814</v>
      </c>
      <c r="D14" s="3" t="s">
        <v>814</v>
      </c>
      <c r="E14" s="3" t="s">
        <v>813</v>
      </c>
    </row>
    <row r="15" customFormat="false" ht="15" hidden="false" customHeight="true" outlineLevel="0" collapsed="false">
      <c r="A15" s="3" t="s">
        <v>815</v>
      </c>
      <c r="B15" s="106" t="n">
        <v>3600</v>
      </c>
      <c r="C15" s="93" t="n">
        <v>3600</v>
      </c>
      <c r="D15" s="93" t="n">
        <v>4600</v>
      </c>
      <c r="E15" s="93" t="n">
        <v>4600</v>
      </c>
    </row>
    <row r="16" customFormat="false" ht="15" hidden="false" customHeight="true" outlineLevel="0" collapsed="false">
      <c r="A16" s="3" t="s">
        <v>816</v>
      </c>
      <c r="B16" s="107" t="n">
        <v>8000</v>
      </c>
      <c r="C16" s="64" t="n">
        <v>8000</v>
      </c>
      <c r="D16" s="64" t="n">
        <v>0</v>
      </c>
      <c r="E16" s="64" t="n">
        <v>0</v>
      </c>
    </row>
    <row r="17" customFormat="false" ht="15" hidden="false" customHeight="true" outlineLevel="0" collapsed="false">
      <c r="A17" s="3" t="s">
        <v>36</v>
      </c>
      <c r="B17" s="108" t="n">
        <v>1.16</v>
      </c>
      <c r="C17" s="97" t="n">
        <v>1.16</v>
      </c>
      <c r="D17" s="97" t="n">
        <v>1.22</v>
      </c>
      <c r="E17" s="97" t="n">
        <v>1.22</v>
      </c>
    </row>
    <row r="18" customFormat="false" ht="15" hidden="false" customHeight="true" outlineLevel="0" collapsed="false">
      <c r="A18" s="3" t="s">
        <v>817</v>
      </c>
      <c r="B18" s="109" t="n">
        <v>110.4</v>
      </c>
      <c r="C18" s="96" t="n">
        <v>18.4</v>
      </c>
      <c r="D18" s="96" t="n">
        <v>20.4</v>
      </c>
      <c r="E18" s="96" t="n">
        <v>122.4</v>
      </c>
    </row>
    <row r="19" customFormat="false" ht="15" hidden="false" customHeight="true" outlineLevel="0" collapsed="false">
      <c r="A19" s="104" t="s">
        <v>818</v>
      </c>
    </row>
    <row r="20" customFormat="false" ht="15" hidden="false" customHeight="true" outlineLevel="0" collapsed="false">
      <c r="A20" s="3" t="s">
        <v>819</v>
      </c>
      <c r="B20" s="107" t="n">
        <v>695408.317583861</v>
      </c>
      <c r="C20" s="64" t="n">
        <v>408495.008097014</v>
      </c>
      <c r="D20" s="64" t="n">
        <v>417373.305456061</v>
      </c>
      <c r="E20" s="64" t="n">
        <v>725489.313444948</v>
      </c>
    </row>
    <row r="21" customFormat="false" ht="15" hidden="false" customHeight="true" outlineLevel="0" collapsed="false">
      <c r="A21" s="3" t="s">
        <v>820</v>
      </c>
      <c r="B21" s="107" t="n">
        <v>442969.894405397</v>
      </c>
      <c r="C21" s="64" t="n">
        <v>167859.963374081</v>
      </c>
      <c r="D21" s="64" t="n">
        <v>172668.537334963</v>
      </c>
      <c r="E21" s="64" t="n">
        <v>492097.294577995</v>
      </c>
    </row>
    <row r="22" customFormat="false" ht="15" hidden="false" customHeight="true" outlineLevel="0" collapsed="false">
      <c r="A22" s="3" t="s">
        <v>821</v>
      </c>
      <c r="B22" s="107" t="n">
        <v>909885.802414842</v>
      </c>
      <c r="C22" s="64" t="n">
        <v>425668.166226161</v>
      </c>
      <c r="D22" s="64" t="n">
        <v>339606.583619817</v>
      </c>
      <c r="E22" s="64" t="n">
        <v>901204.670714845</v>
      </c>
    </row>
    <row r="23" customFormat="false" ht="15" hidden="false" customHeight="true" outlineLevel="0" collapsed="false">
      <c r="A23" s="3" t="s">
        <v>822</v>
      </c>
      <c r="B23" s="105" t="s">
        <v>823</v>
      </c>
      <c r="C23" s="3" t="s">
        <v>823</v>
      </c>
      <c r="D23" s="3" t="s">
        <v>823</v>
      </c>
      <c r="E23" s="3" t="s">
        <v>823</v>
      </c>
    </row>
    <row r="24" customFormat="false" ht="15" hidden="false" customHeight="true" outlineLevel="0" collapsed="false">
      <c r="A24" s="3" t="s">
        <v>824</v>
      </c>
      <c r="B24" s="105" t="s">
        <v>825</v>
      </c>
      <c r="C24" s="3" t="s">
        <v>825</v>
      </c>
      <c r="D24" s="3" t="s">
        <v>825</v>
      </c>
      <c r="E24" s="3" t="s">
        <v>825</v>
      </c>
    </row>
    <row r="25" customFormat="false" ht="15" hidden="false" customHeight="true" outlineLevel="0" collapsed="false">
      <c r="A25" s="3" t="s">
        <v>826</v>
      </c>
      <c r="B25" s="107" t="n">
        <v>909885.802414842</v>
      </c>
      <c r="C25" s="64" t="n">
        <v>425668.166226161</v>
      </c>
      <c r="D25" s="64" t="n">
        <v>118320</v>
      </c>
      <c r="E25" s="64" t="n">
        <v>709920</v>
      </c>
    </row>
    <row r="26" customFormat="false" ht="15" hidden="false" customHeight="true" outlineLevel="0" collapsed="false">
      <c r="A26" s="3" t="s">
        <v>827</v>
      </c>
      <c r="B26" s="107" t="n">
        <v>2048264.0144041</v>
      </c>
      <c r="C26" s="64" t="n">
        <v>1002023.13769726</v>
      </c>
      <c r="D26" s="64" t="n">
        <v>929648.426410841</v>
      </c>
      <c r="E26" s="64" t="n">
        <v>2118791.27873779</v>
      </c>
    </row>
    <row r="27" customFormat="false" ht="15" hidden="false" customHeight="true" outlineLevel="0" collapsed="false">
      <c r="A27" s="3" t="s">
        <v>768</v>
      </c>
      <c r="B27" s="107" t="n">
        <v>66038.125664121</v>
      </c>
      <c r="C27" s="64" t="n">
        <v>29068.1396071972</v>
      </c>
      <c r="D27" s="64" t="n">
        <v>27700.3761718976</v>
      </c>
      <c r="E27" s="64" t="n">
        <v>67469.0607587981</v>
      </c>
    </row>
    <row r="28" customFormat="false" ht="15" hidden="false" customHeight="true" outlineLevel="0" collapsed="false">
      <c r="A28" s="3" t="s">
        <v>828</v>
      </c>
      <c r="B28" s="107" t="n">
        <v>18050</v>
      </c>
      <c r="C28" s="64" t="n">
        <v>18050</v>
      </c>
      <c r="D28" s="64" t="n">
        <v>0</v>
      </c>
      <c r="E28" s="64" t="n">
        <v>0</v>
      </c>
    </row>
    <row r="29" customFormat="false" ht="15" hidden="false" customHeight="true" outlineLevel="0" collapsed="false">
      <c r="A29" s="3" t="s">
        <v>829</v>
      </c>
      <c r="B29" s="107" t="n">
        <v>13403.93</v>
      </c>
      <c r="C29" s="64" t="n">
        <v>13403.93</v>
      </c>
      <c r="D29" s="64" t="n">
        <v>0</v>
      </c>
      <c r="E29" s="64" t="n">
        <v>0</v>
      </c>
    </row>
    <row r="30" customFormat="false" ht="15" hidden="false" customHeight="true" outlineLevel="0" collapsed="false">
      <c r="A30" s="3" t="s">
        <v>830</v>
      </c>
      <c r="B30" s="107" t="n">
        <v>598.171428117038</v>
      </c>
      <c r="C30" s="64" t="n">
        <v>1579.79019604333</v>
      </c>
      <c r="D30" s="64" t="n">
        <v>1357.8615770538</v>
      </c>
      <c r="E30" s="64" t="n">
        <v>551.217816656848</v>
      </c>
    </row>
    <row r="31" customFormat="false" ht="15" hidden="false" customHeight="true" outlineLevel="0" collapsed="false">
      <c r="A31" s="3" t="s">
        <v>831</v>
      </c>
      <c r="B31" s="107" t="n">
        <v>2541.42045942898</v>
      </c>
      <c r="C31" s="64" t="n">
        <v>7230.73585921292</v>
      </c>
      <c r="D31" s="64" t="n">
        <v>6173.3936863176</v>
      </c>
      <c r="E31" s="64" t="n">
        <v>2380.4231997036</v>
      </c>
    </row>
    <row r="32" customFormat="false" ht="15" hidden="false" customHeight="true" outlineLevel="0" collapsed="false">
      <c r="A32" s="104" t="s">
        <v>832</v>
      </c>
    </row>
    <row r="33" customFormat="false" ht="15" hidden="false" customHeight="true" outlineLevel="0" collapsed="false">
      <c r="A33" s="3" t="s">
        <v>226</v>
      </c>
      <c r="B33" s="107" t="n">
        <v>2061625</v>
      </c>
      <c r="C33" s="64" t="n">
        <v>311625</v>
      </c>
      <c r="D33" s="64" t="n">
        <v>295625</v>
      </c>
      <c r="E33" s="64" t="n">
        <v>1965625</v>
      </c>
    </row>
    <row r="34" customFormat="false" ht="15" hidden="false" customHeight="true" outlineLevel="0" collapsed="false">
      <c r="A34" s="3" t="s">
        <v>833</v>
      </c>
      <c r="B34" s="107" t="n">
        <v>2137147.8472551</v>
      </c>
      <c r="C34" s="64" t="n">
        <v>794568.217881538</v>
      </c>
      <c r="D34" s="64" t="n">
        <v>783203.438986438</v>
      </c>
      <c r="E34" s="64" t="n">
        <v>2066019.79583948</v>
      </c>
    </row>
    <row r="35" customFormat="false" ht="15" hidden="false" customHeight="true" outlineLevel="0" collapsed="false">
      <c r="A35" s="3" t="s">
        <v>834</v>
      </c>
      <c r="B35" s="107" t="n">
        <v>542334.930306424</v>
      </c>
      <c r="C35" s="64" t="n">
        <v>201634.201219138</v>
      </c>
      <c r="D35" s="64" t="n">
        <v>198750.209558038</v>
      </c>
      <c r="E35" s="64" t="n">
        <v>524285.06686021</v>
      </c>
    </row>
    <row r="36" customFormat="false" ht="15" hidden="false" customHeight="true" outlineLevel="0" collapsed="false">
      <c r="A36" s="3" t="s">
        <v>835</v>
      </c>
      <c r="B36" s="107" t="n">
        <v>1156783.85170068</v>
      </c>
      <c r="C36" s="64" t="n">
        <v>371746.027910462</v>
      </c>
      <c r="D36" s="64" t="n">
        <v>375393.664417562</v>
      </c>
      <c r="E36" s="64" t="n">
        <v>1159857.12005127</v>
      </c>
    </row>
    <row r="37" customFormat="false" ht="15" hidden="false" customHeight="true" outlineLevel="0" collapsed="false">
      <c r="A37" s="3" t="s">
        <v>205</v>
      </c>
      <c r="B37" s="107" t="n">
        <v>11545879.2811725</v>
      </c>
      <c r="C37" s="64" t="n">
        <v>5088097.68217641</v>
      </c>
      <c r="D37" s="64" t="n">
        <v>5088097.68217641</v>
      </c>
      <c r="E37" s="64" t="n">
        <v>11545879.2811725</v>
      </c>
    </row>
    <row r="38" customFormat="false" ht="15" hidden="false" customHeight="true" outlineLevel="0" collapsed="false">
      <c r="A38" s="3" t="s">
        <v>836</v>
      </c>
      <c r="B38" s="108" t="n">
        <v>2.14994205316461</v>
      </c>
      <c r="C38" s="97" t="n">
        <v>3.25496543188069</v>
      </c>
      <c r="D38" s="97" t="n">
        <v>3.28850660427211</v>
      </c>
      <c r="E38" s="97" t="n">
        <v>2.16449576602302</v>
      </c>
    </row>
    <row r="39" customFormat="false" ht="15" hidden="false" customHeight="true" outlineLevel="0" collapsed="false">
      <c r="A39" s="3" t="s">
        <v>233</v>
      </c>
      <c r="B39" s="107" t="n">
        <v>3947663.90415788</v>
      </c>
      <c r="C39" s="64" t="n">
        <v>1870437.43826095</v>
      </c>
      <c r="D39" s="64" t="n">
        <v>1886275.13118773</v>
      </c>
      <c r="E39" s="64" t="n">
        <v>3989400.29947919</v>
      </c>
    </row>
    <row r="40" customFormat="false" ht="15" hidden="false" customHeight="true" outlineLevel="0" collapsed="false">
      <c r="A40" s="3" t="s">
        <v>837</v>
      </c>
      <c r="B40" s="107" t="n">
        <v>5251657.09034076</v>
      </c>
      <c r="C40" s="64" t="n">
        <v>2593945.99075464</v>
      </c>
      <c r="D40" s="64" t="n">
        <v>2611015.03115464</v>
      </c>
      <c r="E40" s="64" t="n">
        <v>5287631.60482076</v>
      </c>
    </row>
    <row r="41" customFormat="false" ht="15" hidden="false" customHeight="true" outlineLevel="0" collapsed="false">
      <c r="A41" s="3" t="s">
        <v>763</v>
      </c>
      <c r="B41" s="110" t="n">
        <v>0.665905631659056</v>
      </c>
      <c r="C41" s="89" t="n">
        <v>0.665905631659056</v>
      </c>
      <c r="D41" s="89" t="n">
        <v>0.665905631659056</v>
      </c>
      <c r="E41" s="89" t="n">
        <v>0.665905631659056</v>
      </c>
    </row>
    <row r="42" customFormat="false" ht="15" hidden="false" customHeight="true" outlineLevel="0" collapsed="false">
      <c r="A42" s="3" t="s">
        <v>838</v>
      </c>
      <c r="B42" s="105" t="s">
        <v>839</v>
      </c>
      <c r="C42" s="3" t="s">
        <v>839</v>
      </c>
      <c r="D42" s="3" t="s">
        <v>839</v>
      </c>
      <c r="E42" s="3" t="s">
        <v>839</v>
      </c>
    </row>
    <row r="43" customFormat="false" ht="15" hidden="false" customHeight="true" outlineLevel="0" collapsed="false">
      <c r="A43" s="3" t="s">
        <v>766</v>
      </c>
      <c r="B43" s="105" t="s">
        <v>784</v>
      </c>
      <c r="C43" s="3" t="s">
        <v>784</v>
      </c>
      <c r="D43" s="3" t="s">
        <v>784</v>
      </c>
      <c r="E43" s="3" t="s">
        <v>784</v>
      </c>
    </row>
    <row r="44" customFormat="false" ht="15" hidden="false" customHeight="true" outlineLevel="0" collapsed="false">
      <c r="A44" s="104" t="s">
        <v>840</v>
      </c>
    </row>
    <row r="45" customFormat="false" ht="15" hidden="false" customHeight="true" outlineLevel="0" collapsed="false">
      <c r="A45" s="3" t="s">
        <v>841</v>
      </c>
      <c r="B45" s="107" t="n">
        <v>4185411.8616592</v>
      </c>
      <c r="C45" s="64" t="n">
        <v>1796591.3555788</v>
      </c>
      <c r="D45" s="64" t="n">
        <v>1712851.86539728</v>
      </c>
      <c r="E45" s="64" t="n">
        <v>4184811.07457727</v>
      </c>
    </row>
  </sheetData>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58"/>
    <col collapsed="false" customWidth="true" hidden="false" outlineLevel="0" max="7" min="2" style="1" width="13"/>
    <col collapsed="false" customWidth="true" hidden="false" outlineLevel="0" max="8" min="8" style="1" width="80"/>
  </cols>
  <sheetData>
    <row r="1" customFormat="false" ht="15.75" hidden="false" customHeight="true" outlineLevel="0" collapsed="false">
      <c r="A1" s="2" t="s">
        <v>842</v>
      </c>
    </row>
    <row r="2" customFormat="false" ht="15" hidden="false" customHeight="true" outlineLevel="0" collapsed="false">
      <c r="A2" s="3" t="s">
        <v>843</v>
      </c>
    </row>
    <row r="4" customFormat="false" ht="15" hidden="false" customHeight="true" outlineLevel="0" collapsed="false">
      <c r="A4" s="6" t="s">
        <v>844</v>
      </c>
    </row>
    <row r="5" customFormat="false" ht="15" hidden="false" customHeight="true" outlineLevel="0" collapsed="false">
      <c r="A5" s="3" t="s">
        <v>845</v>
      </c>
      <c r="B5" s="49" t="n">
        <v>0.085</v>
      </c>
      <c r="C5" s="1" t="s">
        <v>846</v>
      </c>
      <c r="H5" s="66" t="s">
        <v>847</v>
      </c>
    </row>
    <row r="6" customFormat="false" ht="15" hidden="false" customHeight="true" outlineLevel="0" collapsed="false">
      <c r="A6" s="3" t="s">
        <v>848</v>
      </c>
      <c r="B6" s="111" t="n">
        <v>5</v>
      </c>
      <c r="H6" s="66" t="s">
        <v>849</v>
      </c>
    </row>
    <row r="7" customFormat="false" ht="15" hidden="false" customHeight="true" outlineLevel="0" collapsed="false">
      <c r="A7" s="3" t="s">
        <v>850</v>
      </c>
      <c r="B7" s="47" t="n">
        <v>350000</v>
      </c>
      <c r="H7" s="66" t="s">
        <v>851</v>
      </c>
    </row>
    <row r="9" customFormat="false" ht="15" hidden="false" customHeight="true" outlineLevel="0" collapsed="false">
      <c r="A9" s="6" t="s">
        <v>852</v>
      </c>
    </row>
    <row r="10" customFormat="false" ht="15" hidden="false" customHeight="true" outlineLevel="0" collapsed="false">
      <c r="A10" s="3" t="s">
        <v>853</v>
      </c>
      <c r="B10" s="64" t="n">
        <f aca="false">-Class_NVIDIA_Datacenter!B94</f>
        <v>1424000</v>
      </c>
    </row>
    <row r="11" customFormat="false" ht="15" hidden="false" customHeight="true" outlineLevel="0" collapsed="false">
      <c r="A11" s="3" t="s">
        <v>854</v>
      </c>
      <c r="B11" s="64" t="n">
        <f aca="false">B13-B10-B7</f>
        <v>363147.847255103</v>
      </c>
      <c r="H11" s="66" t="s">
        <v>855</v>
      </c>
    </row>
    <row r="12" customFormat="false" ht="15" hidden="false" customHeight="true" outlineLevel="0" collapsed="false">
      <c r="A12" s="3" t="s">
        <v>856</v>
      </c>
      <c r="B12" s="64" t="n">
        <f aca="false">B13-B10</f>
        <v>713147.847255103</v>
      </c>
    </row>
    <row r="13" customFormat="false" ht="15" hidden="false" customHeight="true" outlineLevel="0" collapsed="false">
      <c r="A13" s="6" t="s">
        <v>857</v>
      </c>
      <c r="B13" s="19" t="n">
        <f aca="false">MAX(LaunchYearMonthly!B32,MAX(B29:G29))</f>
        <v>2137147.8472551</v>
      </c>
      <c r="H13" s="1" t="s">
        <v>858</v>
      </c>
    </row>
    <row r="14" customFormat="false" ht="15" hidden="false" customHeight="true" outlineLevel="0" collapsed="false">
      <c r="A14" s="3" t="s">
        <v>859</v>
      </c>
      <c r="B14" s="64" t="n">
        <f aca="false">PMT(B5,B6,-B13)</f>
        <v>542334.930306424</v>
      </c>
    </row>
    <row r="15" customFormat="false" ht="15" hidden="false" customHeight="true" outlineLevel="0" collapsed="false">
      <c r="A15" s="3" t="s">
        <v>860</v>
      </c>
      <c r="B15" s="64" t="n">
        <f aca="false">B14*B6-B13</f>
        <v>574526.804277018</v>
      </c>
    </row>
    <row r="16" customFormat="false" ht="15" hidden="false" customHeight="true" outlineLevel="0" collapsed="false">
      <c r="A16" s="3" t="s">
        <v>861</v>
      </c>
      <c r="B16" s="112" t="n">
        <f aca="false">PMT(B5,B6,-1)</f>
        <v>0.253765751865499</v>
      </c>
    </row>
    <row r="17" customFormat="false" ht="15" hidden="false" customHeight="true" outlineLevel="0" collapsed="false">
      <c r="A17" s="6" t="s">
        <v>862</v>
      </c>
      <c r="B17" s="6" t="s">
        <v>236</v>
      </c>
      <c r="C17" s="6" t="s">
        <v>237</v>
      </c>
      <c r="D17" s="6" t="s">
        <v>238</v>
      </c>
      <c r="E17" s="6" t="s">
        <v>239</v>
      </c>
      <c r="F17" s="6" t="s">
        <v>240</v>
      </c>
      <c r="G17" s="6" t="s">
        <v>241</v>
      </c>
    </row>
    <row r="18" customFormat="false" ht="15" hidden="false" customHeight="true" outlineLevel="0" collapsed="false">
      <c r="A18" s="3" t="s">
        <v>863</v>
      </c>
      <c r="B18" s="64" t="n">
        <f aca="false">Class_NVIDIA_Datacenter!B96</f>
        <v>-438029.065248</v>
      </c>
      <c r="C18" s="64" t="n">
        <f aca="false">Class_NVIDIA_Datacenter!C96</f>
        <v>917863.1308224</v>
      </c>
      <c r="D18" s="64" t="n">
        <f aca="false">Class_NVIDIA_Datacenter!D96</f>
        <v>793130.0650896</v>
      </c>
      <c r="E18" s="64" t="n">
        <f aca="false">Class_NVIDIA_Datacenter!E96</f>
        <v>1259384.02961056</v>
      </c>
      <c r="F18" s="64" t="n">
        <f aca="false">Class_NVIDIA_Datacenter!F96</f>
        <v>1265932.5589083</v>
      </c>
      <c r="G18" s="64" t="n">
        <f aca="false">Class_NVIDIA_Datacenter!G96</f>
        <v>1453376.3711579</v>
      </c>
    </row>
    <row r="19" customFormat="false" ht="15" hidden="false" customHeight="true" outlineLevel="0" collapsed="false">
      <c r="A19" s="3" t="s">
        <v>247</v>
      </c>
      <c r="B19" s="64" t="n">
        <f aca="false">$B$13</f>
        <v>2137147.8472551</v>
      </c>
      <c r="C19" s="64" t="n">
        <f aca="false">0</f>
        <v>0</v>
      </c>
      <c r="D19" s="64" t="n">
        <f aca="false">0</f>
        <v>0</v>
      </c>
      <c r="E19" s="64" t="n">
        <f aca="false">0</f>
        <v>0</v>
      </c>
      <c r="F19" s="64" t="n">
        <f aca="false">0</f>
        <v>0</v>
      </c>
      <c r="G19" s="64" t="n">
        <f aca="false">0</f>
        <v>0</v>
      </c>
    </row>
    <row r="20" customFormat="false" ht="15" hidden="false" customHeight="true" outlineLevel="0" collapsed="false">
      <c r="A20" s="3" t="s">
        <v>864</v>
      </c>
      <c r="B20" s="64" t="n">
        <f aca="false">IF(0&lt;$B$6,-$B$14,0)</f>
        <v>-542334.930306424</v>
      </c>
      <c r="C20" s="64" t="n">
        <f aca="false">IF(1&lt;$B$6,-$B$14,0)</f>
        <v>-542334.930306424</v>
      </c>
      <c r="D20" s="64" t="n">
        <f aca="false">IF(2&lt;$B$6,-$B$14,0)</f>
        <v>-542334.930306424</v>
      </c>
      <c r="E20" s="64" t="n">
        <f aca="false">IF(3&lt;$B$6,-$B$14,0)</f>
        <v>-542334.930306424</v>
      </c>
      <c r="F20" s="64" t="n">
        <f aca="false">IF(4&lt;$B$6,-$B$14,0)</f>
        <v>-542334.930306424</v>
      </c>
      <c r="G20" s="64" t="n">
        <f aca="false">IF(5&lt;$B$6,-$B$14,0)</f>
        <v>0</v>
      </c>
    </row>
    <row r="21" customFormat="false" ht="15" hidden="false" customHeight="true" outlineLevel="0" collapsed="false">
      <c r="A21" s="3" t="s">
        <v>865</v>
      </c>
      <c r="B21" s="64" t="n">
        <f aca="false">IF(0&lt;$B$6,-$B$13*$B$5,0)</f>
        <v>-181657.567016684</v>
      </c>
      <c r="C21" s="64" t="n">
        <f aca="false">IF(1&lt;$B$6,-B23*$B$5,0)</f>
        <v>-150999.991137056</v>
      </c>
      <c r="D21" s="64" t="n">
        <f aca="false">IF(2&lt;$B$6,-C23*$B$5,0)</f>
        <v>-117736.52130766</v>
      </c>
      <c r="E21" s="64" t="n">
        <f aca="false">IF(3&lt;$B$6,-D23*$B$5,0)</f>
        <v>-81645.6565427646</v>
      </c>
      <c r="F21" s="64" t="n">
        <f aca="false">IF(4&lt;$B$6,-E23*$B$5,0)</f>
        <v>-42487.0682728535</v>
      </c>
      <c r="G21" s="64" t="n">
        <f aca="false">IF(5&lt;$B$6,-F23*$B$5,0)</f>
        <v>0</v>
      </c>
    </row>
    <row r="22" customFormat="false" ht="15" hidden="false" customHeight="true" outlineLevel="0" collapsed="false">
      <c r="A22" s="6" t="s">
        <v>866</v>
      </c>
      <c r="B22" s="19" t="n">
        <f aca="false">B18+B19+B20</f>
        <v>1156783.85170068</v>
      </c>
      <c r="C22" s="19" t="n">
        <f aca="false">C18+C19+C20</f>
        <v>375528.200515976</v>
      </c>
      <c r="D22" s="19" t="n">
        <f aca="false">D18+D19+D20</f>
        <v>250795.134783175</v>
      </c>
      <c r="E22" s="19" t="n">
        <f aca="false">E18+E19+E20</f>
        <v>717049.099304136</v>
      </c>
      <c r="F22" s="19" t="n">
        <f aca="false">F18+F19+F20</f>
        <v>723597.628601879</v>
      </c>
      <c r="G22" s="19" t="n">
        <f aca="false">G18+G19+G20</f>
        <v>1453376.3711579</v>
      </c>
    </row>
    <row r="23" customFormat="false" ht="15" hidden="false" customHeight="true" outlineLevel="0" collapsed="false">
      <c r="A23" s="3" t="s">
        <v>867</v>
      </c>
      <c r="B23" s="64" t="n">
        <f aca="false">IF(0&lt;$B$6,$B$13+B20-B21,0)</f>
        <v>1776470.48396536</v>
      </c>
      <c r="C23" s="64" t="n">
        <f aca="false">IF(1&lt;$B$6,B23+C20-C21,0)</f>
        <v>1385135.54479599</v>
      </c>
      <c r="D23" s="64" t="n">
        <f aca="false">IF(2&lt;$B$6,C23+D20-D21,0)</f>
        <v>960537.13579723</v>
      </c>
      <c r="E23" s="64" t="n">
        <f aca="false">IF(3&lt;$B$6,D23+E20-E21,0)</f>
        <v>499847.862033571</v>
      </c>
      <c r="F23" s="64" t="n">
        <f aca="false">IF(4&lt;$B$6,E23+F20-F21,0)</f>
        <v>-1.81898940354586E-010</v>
      </c>
      <c r="G23" s="64" t="n">
        <f aca="false">IF(5&lt;$B$6,F23+G20-G21,0)</f>
        <v>0</v>
      </c>
    </row>
    <row r="24" customFormat="false" ht="15" hidden="false" customHeight="true" outlineLevel="0" collapsed="false">
      <c r="A24" s="6" t="s">
        <v>868</v>
      </c>
      <c r="B24" s="19" t="n">
        <f aca="false">B22</f>
        <v>1156783.85170068</v>
      </c>
      <c r="C24" s="19" t="n">
        <f aca="false">B24+C22</f>
        <v>1532312.05221665</v>
      </c>
      <c r="D24" s="19" t="n">
        <f aca="false">C24+D22</f>
        <v>1783107.18699983</v>
      </c>
      <c r="E24" s="19" t="n">
        <f aca="false">D24+E22</f>
        <v>2500156.28630397</v>
      </c>
      <c r="F24" s="19" t="n">
        <f aca="false">E24+F22</f>
        <v>3223753.91490584</v>
      </c>
      <c r="G24" s="19" t="n">
        <f aca="false">F24+G22</f>
        <v>4677130.28606374</v>
      </c>
    </row>
    <row r="26" customFormat="false" ht="15" hidden="false" customHeight="true" outlineLevel="0" collapsed="false">
      <c r="A26" s="3" t="s">
        <v>869</v>
      </c>
      <c r="B26" s="64" t="n">
        <f aca="false">MIN(B24:G24)</f>
        <v>1156783.85170068</v>
      </c>
    </row>
    <row r="27" customFormat="false" ht="15" hidden="false" customHeight="true" outlineLevel="0" collapsed="false">
      <c r="A27" s="3" t="s">
        <v>870</v>
      </c>
      <c r="B27" s="64" t="n">
        <f aca="false">B13-B10</f>
        <v>713147.847255103</v>
      </c>
    </row>
    <row r="28" customFormat="false" ht="15" hidden="false" customHeight="true" outlineLevel="0" collapsed="false">
      <c r="A28" s="6" t="s">
        <v>871</v>
      </c>
    </row>
    <row r="29" customFormat="false" ht="15" hidden="false" customHeight="true" outlineLevel="0" collapsed="false">
      <c r="A29" s="3" t="s">
        <v>872</v>
      </c>
      <c r="B29" s="64" t="n">
        <f aca="false">IF(AND(0&lt;$B$6,1-1*$B$16&gt;0),MAX(0,($B$7-Class_NVIDIA_Datacenter!B97)/(1-1*$B$16)),0)</f>
        <v>1056007.63730421</v>
      </c>
      <c r="C29" s="64" t="n">
        <f aca="false">IF(AND(1&lt;$B$6,1-2*$B$16&gt;0),MAX(0,($B$7-Class_NVIDIA_Datacenter!C97)/(1-2*$B$16)),0)</f>
        <v>0</v>
      </c>
      <c r="D29" s="64" t="n">
        <f aca="false">IF(AND(2&lt;$B$6,1-3*$B$16&gt;0),MAX(0,($B$7-Class_NVIDIA_Datacenter!D97)/(1-3*$B$16)),0)</f>
        <v>0</v>
      </c>
      <c r="E29" s="64" t="n">
        <f aca="false">IF(AND(3&lt;$B$6,1-4*$B$16&gt;0),MAX(0,($B$7-Class_NVIDIA_Datacenter!E97)/(1-4*$B$16)),0)</f>
        <v>0</v>
      </c>
      <c r="F29" s="64" t="n">
        <f aca="false">IF(AND(4&lt;$B$6,1-5*$B$16&gt;0),MAX(0,($B$7-Class_NVIDIA_Datacenter!F97)/(1-5*$B$16)),0)</f>
        <v>0</v>
      </c>
      <c r="G29" s="64" t="n">
        <f aca="false">IF(AND(5&lt;$B$6,1-6*$B$16&gt;0),MAX(0,($B$7-Class_NVIDIA_Datacenter!G97)/(1-6*$B$16)),0)</f>
        <v>0</v>
      </c>
    </row>
    <row r="30" customFormat="false" ht="15" hidden="false" customHeight="true" outlineLevel="0" collapsed="false">
      <c r="A30" s="3" t="s">
        <v>873</v>
      </c>
      <c r="B30" s="64" t="n">
        <f aca="false">MIN(B26,LaunchYearMonthly!B28)</f>
        <v>350000</v>
      </c>
    </row>
  </sheetData>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78"/>
    <col collapsed="false" customWidth="true" hidden="false" outlineLevel="0" max="2" min="2" style="1" width="14"/>
    <col collapsed="false" customWidth="true" hidden="false" outlineLevel="0" max="14" min="3" style="1" width="11"/>
  </cols>
  <sheetData>
    <row r="1" customFormat="false" ht="15" hidden="false" customHeight="true" outlineLevel="0" collapsed="false">
      <c r="A1" s="113" t="s">
        <v>874</v>
      </c>
    </row>
    <row r="2" customFormat="false" ht="15" hidden="false" customHeight="true" outlineLevel="0" collapsed="false">
      <c r="A2" s="114" t="s">
        <v>875</v>
      </c>
    </row>
    <row r="3" customFormat="false" ht="15" hidden="false" customHeight="true" outlineLevel="0" collapsed="false">
      <c r="A3" s="114" t="s">
        <v>876</v>
      </c>
    </row>
    <row r="5" customFormat="false" ht="15" hidden="false" customHeight="true" outlineLevel="0" collapsed="false">
      <c r="A5" s="26" t="s">
        <v>877</v>
      </c>
    </row>
    <row r="6" customFormat="false" ht="15" hidden="false" customHeight="true" outlineLevel="0" collapsed="false">
      <c r="A6" s="115" t="s">
        <v>878</v>
      </c>
      <c r="B6" s="111" t="n">
        <v>2</v>
      </c>
    </row>
    <row r="7" customFormat="false" ht="15" hidden="false" customHeight="true" outlineLevel="0" collapsed="false">
      <c r="A7" s="115" t="s">
        <v>879</v>
      </c>
      <c r="B7" s="111" t="n">
        <v>6</v>
      </c>
    </row>
    <row r="8" customFormat="false" ht="15" hidden="false" customHeight="true" outlineLevel="0" collapsed="false">
      <c r="A8" s="115" t="s">
        <v>880</v>
      </c>
      <c r="B8" s="67" t="n">
        <v>1.5</v>
      </c>
    </row>
    <row r="9" customFormat="false" ht="15" hidden="false" customHeight="true" outlineLevel="0" collapsed="false">
      <c r="A9" s="115" t="s">
        <v>881</v>
      </c>
      <c r="B9" s="60" t="n">
        <v>0.4</v>
      </c>
    </row>
    <row r="10" customFormat="false" ht="15" hidden="false" customHeight="true" outlineLevel="0" collapsed="false">
      <c r="A10" s="115" t="s">
        <v>882</v>
      </c>
      <c r="B10" s="111" t="n">
        <v>1</v>
      </c>
    </row>
    <row r="12" customFormat="false" ht="15" hidden="false" customHeight="true" outlineLevel="0" collapsed="false">
      <c r="A12" s="26" t="s">
        <v>883</v>
      </c>
      <c r="C12" s="26" t="n">
        <v>1</v>
      </c>
      <c r="D12" s="26" t="n">
        <v>2</v>
      </c>
      <c r="E12" s="26" t="n">
        <v>3</v>
      </c>
      <c r="F12" s="26" t="n">
        <v>4</v>
      </c>
      <c r="G12" s="26" t="n">
        <v>5</v>
      </c>
      <c r="H12" s="26" t="n">
        <v>6</v>
      </c>
      <c r="I12" s="26" t="n">
        <v>7</v>
      </c>
      <c r="J12" s="26" t="n">
        <v>8</v>
      </c>
      <c r="K12" s="26" t="n">
        <v>9</v>
      </c>
      <c r="L12" s="26" t="n">
        <v>10</v>
      </c>
      <c r="M12" s="26" t="n">
        <v>11</v>
      </c>
      <c r="N12" s="26" t="n">
        <v>12</v>
      </c>
    </row>
    <row r="13" customFormat="false" ht="15" hidden="false" customHeight="true" outlineLevel="0" collapsed="false">
      <c r="A13" s="115" t="s">
        <v>884</v>
      </c>
      <c r="C13" s="116" t="n">
        <f aca="false">IF(1&lt;=$B$6,0,MIN(1,(1-$B$6)/MAX(1,$B$7)))</f>
        <v>0</v>
      </c>
      <c r="D13" s="116" t="n">
        <f aca="false">IF(2&lt;=$B$6,0,MIN(1,(2-$B$6)/MAX(1,$B$7)))</f>
        <v>0</v>
      </c>
      <c r="E13" s="116" t="n">
        <f aca="false">IF(3&lt;=$B$6,0,MIN(1,(3-$B$6)/MAX(1,$B$7)))</f>
        <v>0.166666666666667</v>
      </c>
      <c r="F13" s="116" t="n">
        <f aca="false">IF(4&lt;=$B$6,0,MIN(1,(4-$B$6)/MAX(1,$B$7)))</f>
        <v>0.333333333333333</v>
      </c>
      <c r="G13" s="116" t="n">
        <f aca="false">IF(5&lt;=$B$6,0,MIN(1,(5-$B$6)/MAX(1,$B$7)))</f>
        <v>0.5</v>
      </c>
      <c r="H13" s="116" t="n">
        <f aca="false">IF(6&lt;=$B$6,0,MIN(1,(6-$B$6)/MAX(1,$B$7)))</f>
        <v>0.666666666666667</v>
      </c>
      <c r="I13" s="116" t="n">
        <f aca="false">IF(7&lt;=$B$6,0,MIN(1,(7-$B$6)/MAX(1,$B$7)))</f>
        <v>0.833333333333333</v>
      </c>
      <c r="J13" s="116" t="n">
        <f aca="false">IF(8&lt;=$B$6,0,MIN(1,(8-$B$6)/MAX(1,$B$7)))</f>
        <v>1</v>
      </c>
      <c r="K13" s="116" t="n">
        <f aca="false">IF(9&lt;=$B$6,0,MIN(1,(9-$B$6)/MAX(1,$B$7)))</f>
        <v>1</v>
      </c>
      <c r="L13" s="116" t="n">
        <f aca="false">IF(10&lt;=$B$6,0,MIN(1,(10-$B$6)/MAX(1,$B$7)))</f>
        <v>1</v>
      </c>
      <c r="M13" s="116" t="n">
        <f aca="false">IF(11&lt;=$B$6,0,MIN(1,(11-$B$6)/MAX(1,$B$7)))</f>
        <v>1</v>
      </c>
      <c r="N13" s="116" t="n">
        <f aca="false">IF(12&lt;=$B$6,0,MIN(1,(12-$B$6)/MAX(1,$B$7)))</f>
        <v>1</v>
      </c>
    </row>
    <row r="14" customFormat="false" ht="15" hidden="false" customHeight="true" outlineLevel="0" collapsed="false">
      <c r="A14" s="115" t="s">
        <v>885</v>
      </c>
      <c r="C14" s="51" t="n">
        <f aca="false">Class_NVIDIA_Datacenter!$B$91/12*C13</f>
        <v>0</v>
      </c>
      <c r="D14" s="51" t="n">
        <f aca="false">Class_NVIDIA_Datacenter!$B$91/12*D13</f>
        <v>0</v>
      </c>
      <c r="E14" s="51" t="n">
        <f aca="false">Class_NVIDIA_Datacenter!$B$91/12*E13</f>
        <v>20432.7532888889</v>
      </c>
      <c r="F14" s="51" t="n">
        <f aca="false">Class_NVIDIA_Datacenter!$B$91/12*F13</f>
        <v>40865.5065777778</v>
      </c>
      <c r="G14" s="51" t="n">
        <f aca="false">Class_NVIDIA_Datacenter!$B$91/12*G13</f>
        <v>61298.2598666667</v>
      </c>
      <c r="H14" s="51" t="n">
        <f aca="false">Class_NVIDIA_Datacenter!$B$91/12*H13</f>
        <v>81731.0131555556</v>
      </c>
      <c r="I14" s="51" t="n">
        <f aca="false">Class_NVIDIA_Datacenter!$B$91/12*I13</f>
        <v>102163.766444444</v>
      </c>
      <c r="J14" s="51" t="n">
        <f aca="false">Class_NVIDIA_Datacenter!$B$91/12*J13</f>
        <v>122596.519733333</v>
      </c>
      <c r="K14" s="51" t="n">
        <f aca="false">Class_NVIDIA_Datacenter!$B$91/12*K13</f>
        <v>122596.519733333</v>
      </c>
      <c r="L14" s="51" t="n">
        <f aca="false">Class_NVIDIA_Datacenter!$B$91/12*L13</f>
        <v>122596.519733333</v>
      </c>
      <c r="M14" s="51" t="n">
        <f aca="false">Class_NVIDIA_Datacenter!$B$91/12*M13</f>
        <v>122596.519733333</v>
      </c>
      <c r="N14" s="51" t="n">
        <f aca="false">Class_NVIDIA_Datacenter!$B$91/12*N13</f>
        <v>122596.519733333</v>
      </c>
    </row>
    <row r="15" customFormat="false" ht="15" hidden="false" customHeight="true" outlineLevel="0" collapsed="false">
      <c r="A15" s="115" t="s">
        <v>886</v>
      </c>
      <c r="C15" s="51" t="n">
        <f aca="false">IF(1-INT($B$8)&gt;=1,INDEX($C$14:$N$14,1-INT($B$8)),0)*(1-($B$8-INT($B$8)))+IF(1-INT($B$8)-1&gt;=1,INDEX($C$14:$N$14,1-INT($B$8)-1),0)*($B$8-INT($B$8))</f>
        <v>0</v>
      </c>
      <c r="D15" s="51" t="n">
        <f aca="false">IF(2-INT($B$8)&gt;=1,INDEX($C$14:$N$14,2-INT($B$8)),0)*(1-($B$8-INT($B$8)))+IF(2-INT($B$8)-1&gt;=1,INDEX($C$14:$N$14,2-INT($B$8)-1),0)*($B$8-INT($B$8))</f>
        <v>0</v>
      </c>
      <c r="E15" s="51" t="n">
        <f aca="false">IF(3-INT($B$8)&gt;=1,INDEX($C$14:$N$14,3-INT($B$8)),0)*(1-($B$8-INT($B$8)))+IF(3-INT($B$8)-1&gt;=1,INDEX($C$14:$N$14,3-INT($B$8)-1),0)*($B$8-INT($B$8))</f>
        <v>0</v>
      </c>
      <c r="F15" s="51" t="n">
        <f aca="false">IF(4-INT($B$8)&gt;=1,INDEX($C$14:$N$14,4-INT($B$8)),0)*(1-($B$8-INT($B$8)))+IF(4-INT($B$8)-1&gt;=1,INDEX($C$14:$N$14,4-INT($B$8)-1),0)*($B$8-INT($B$8))</f>
        <v>10216.3766444444</v>
      </c>
      <c r="G15" s="51" t="n">
        <f aca="false">IF(5-INT($B$8)&gt;=1,INDEX($C$14:$N$14,5-INT($B$8)),0)*(1-($B$8-INT($B$8)))+IF(5-INT($B$8)-1&gt;=1,INDEX($C$14:$N$14,5-INT($B$8)-1),0)*($B$8-INT($B$8))</f>
        <v>30649.1299333333</v>
      </c>
      <c r="H15" s="51" t="n">
        <f aca="false">IF(6-INT($B$8)&gt;=1,INDEX($C$14:$N$14,6-INT($B$8)),0)*(1-($B$8-INT($B$8)))+IF(6-INT($B$8)-1&gt;=1,INDEX($C$14:$N$14,6-INT($B$8)-1),0)*($B$8-INT($B$8))</f>
        <v>51081.8832222222</v>
      </c>
      <c r="I15" s="51" t="n">
        <f aca="false">IF(7-INT($B$8)&gt;=1,INDEX($C$14:$N$14,7-INT($B$8)),0)*(1-($B$8-INT($B$8)))+IF(7-INT($B$8)-1&gt;=1,INDEX($C$14:$N$14,7-INT($B$8)-1),0)*($B$8-INT($B$8))</f>
        <v>71514.6365111111</v>
      </c>
      <c r="J15" s="51" t="n">
        <f aca="false">IF(8-INT($B$8)&gt;=1,INDEX($C$14:$N$14,8-INT($B$8)),0)*(1-($B$8-INT($B$8)))+IF(8-INT($B$8)-1&gt;=1,INDEX($C$14:$N$14,8-INT($B$8)-1),0)*($B$8-INT($B$8))</f>
        <v>91947.3898</v>
      </c>
      <c r="K15" s="51" t="n">
        <f aca="false">IF(9-INT($B$8)&gt;=1,INDEX($C$14:$N$14,9-INT($B$8)),0)*(1-($B$8-INT($B$8)))+IF(9-INT($B$8)-1&gt;=1,INDEX($C$14:$N$14,9-INT($B$8)-1),0)*($B$8-INT($B$8))</f>
        <v>112380.143088889</v>
      </c>
      <c r="L15" s="51" t="n">
        <f aca="false">IF(10-INT($B$8)&gt;=1,INDEX($C$14:$N$14,10-INT($B$8)),0)*(1-($B$8-INT($B$8)))+IF(10-INT($B$8)-1&gt;=1,INDEX($C$14:$N$14,10-INT($B$8)-1),0)*($B$8-INT($B$8))</f>
        <v>122596.519733333</v>
      </c>
      <c r="M15" s="51" t="n">
        <f aca="false">IF(11-INT($B$8)&gt;=1,INDEX($C$14:$N$14,11-INT($B$8)),0)*(1-($B$8-INT($B$8)))+IF(11-INT($B$8)-1&gt;=1,INDEX($C$14:$N$14,11-INT($B$8)-1),0)*($B$8-INT($B$8))</f>
        <v>122596.519733333</v>
      </c>
      <c r="N15" s="51" t="n">
        <f aca="false">IF(12-INT($B$8)&gt;=1,INDEX($C$14:$N$14,12-INT($B$8)),0)*(1-($B$8-INT($B$8)))+IF(12-INT($B$8)-1&gt;=1,INDEX($C$14:$N$14,12-INT($B$8)-1),0)*($B$8-INT($B$8))</f>
        <v>122596.519733333</v>
      </c>
    </row>
    <row r="16" customFormat="false" ht="15" hidden="false" customHeight="true" outlineLevel="0" collapsed="false">
      <c r="A16" s="115" t="s">
        <v>244</v>
      </c>
      <c r="C16" s="51" t="n">
        <f aca="false">Class_NVIDIA_Datacenter!$B$92/12*((1-$B$9)+$B$9*C13)</f>
        <v>-24259.3651024</v>
      </c>
      <c r="D16" s="51" t="n">
        <f aca="false">Class_NVIDIA_Datacenter!$B$92/12*((1-$B$9)+$B$9*D13)</f>
        <v>-24259.3651024</v>
      </c>
      <c r="E16" s="51" t="n">
        <f aca="false">Class_NVIDIA_Datacenter!$B$92/12*((1-$B$9)+$B$9*E13)</f>
        <v>-26954.8501137778</v>
      </c>
      <c r="F16" s="51" t="n">
        <f aca="false">Class_NVIDIA_Datacenter!$B$92/12*((1-$B$9)+$B$9*F13)</f>
        <v>-29650.3351251556</v>
      </c>
      <c r="G16" s="51" t="n">
        <f aca="false">Class_NVIDIA_Datacenter!$B$92/12*((1-$B$9)+$B$9*G13)</f>
        <v>-32345.8201365333</v>
      </c>
      <c r="H16" s="51" t="n">
        <f aca="false">Class_NVIDIA_Datacenter!$B$92/12*((1-$B$9)+$B$9*H13)</f>
        <v>-35041.3051479111</v>
      </c>
      <c r="I16" s="51" t="n">
        <f aca="false">Class_NVIDIA_Datacenter!$B$92/12*((1-$B$9)+$B$9*I13)</f>
        <v>-37736.7901592889</v>
      </c>
      <c r="J16" s="51" t="n">
        <f aca="false">Class_NVIDIA_Datacenter!$B$92/12*((1-$B$9)+$B$9*J13)</f>
        <v>-40432.2751706667</v>
      </c>
      <c r="K16" s="51" t="n">
        <f aca="false">Class_NVIDIA_Datacenter!$B$92/12*((1-$B$9)+$B$9*K13)</f>
        <v>-40432.2751706667</v>
      </c>
      <c r="L16" s="51" t="n">
        <f aca="false">Class_NVIDIA_Datacenter!$B$92/12*((1-$B$9)+$B$9*L13)</f>
        <v>-40432.2751706667</v>
      </c>
      <c r="M16" s="51" t="n">
        <f aca="false">Class_NVIDIA_Datacenter!$B$92/12*((1-$B$9)+$B$9*M13)</f>
        <v>-40432.2751706667</v>
      </c>
      <c r="N16" s="51" t="n">
        <f aca="false">Class_NVIDIA_Datacenter!$B$92/12*((1-$B$9)+$B$9*N13)</f>
        <v>-40432.2751706667</v>
      </c>
    </row>
    <row r="17" customFormat="false" ht="15" hidden="false" customHeight="true" outlineLevel="0" collapsed="false">
      <c r="A17" s="115" t="s">
        <v>887</v>
      </c>
      <c r="C17" s="51" t="n">
        <f aca="false">IF(1=$B$10,Class_NVIDIA_Datacenter!$B$94,0)</f>
        <v>-1424000</v>
      </c>
      <c r="D17" s="51" t="n">
        <f aca="false">IF(2=$B$10,Class_NVIDIA_Datacenter!$B$94,0)</f>
        <v>0</v>
      </c>
      <c r="E17" s="51" t="n">
        <f aca="false">IF(3=$B$10,Class_NVIDIA_Datacenter!$B$94,0)</f>
        <v>0</v>
      </c>
      <c r="F17" s="51" t="n">
        <f aca="false">IF(4=$B$10,Class_NVIDIA_Datacenter!$B$94,0)</f>
        <v>0</v>
      </c>
      <c r="G17" s="51" t="n">
        <f aca="false">IF(5=$B$10,Class_NVIDIA_Datacenter!$B$94,0)</f>
        <v>0</v>
      </c>
      <c r="H17" s="51" t="n">
        <f aca="false">IF(6=$B$10,Class_NVIDIA_Datacenter!$B$94,0)</f>
        <v>0</v>
      </c>
      <c r="I17" s="51" t="n">
        <f aca="false">IF(7=$B$10,Class_NVIDIA_Datacenter!$B$94,0)</f>
        <v>0</v>
      </c>
      <c r="J17" s="51" t="n">
        <f aca="false">IF(8=$B$10,Class_NVIDIA_Datacenter!$B$94,0)</f>
        <v>0</v>
      </c>
      <c r="K17" s="51" t="n">
        <f aca="false">IF(9=$B$10,Class_NVIDIA_Datacenter!$B$94,0)</f>
        <v>0</v>
      </c>
      <c r="L17" s="51" t="n">
        <f aca="false">IF(10=$B$10,Class_NVIDIA_Datacenter!$B$94,0)</f>
        <v>0</v>
      </c>
      <c r="M17" s="51" t="n">
        <f aca="false">IF(11=$B$10,Class_NVIDIA_Datacenter!$B$94,0)</f>
        <v>0</v>
      </c>
      <c r="N17" s="51" t="n">
        <f aca="false">IF(12=$B$10,Class_NVIDIA_Datacenter!$B$94,0)</f>
        <v>0</v>
      </c>
    </row>
    <row r="18" customFormat="false" ht="15" hidden="false" customHeight="true" outlineLevel="0" collapsed="false">
      <c r="A18" s="115" t="s">
        <v>246</v>
      </c>
      <c r="C18" s="51" t="n">
        <f aca="false">C15+C16+C17</f>
        <v>-1448259.3651024</v>
      </c>
      <c r="D18" s="51" t="n">
        <f aca="false">D15+D16+D17</f>
        <v>-24259.3651024</v>
      </c>
      <c r="E18" s="51" t="n">
        <f aca="false">E15+E16+E17</f>
        <v>-26954.8501137778</v>
      </c>
      <c r="F18" s="51" t="n">
        <f aca="false">F15+F16+F17</f>
        <v>-19433.9584807111</v>
      </c>
      <c r="G18" s="51" t="n">
        <f aca="false">G15+G16+G17</f>
        <v>-1696.6902032</v>
      </c>
      <c r="H18" s="51" t="n">
        <f aca="false">H15+H16+H17</f>
        <v>16040.5780743111</v>
      </c>
      <c r="I18" s="51" t="n">
        <f aca="false">I15+I16+I17</f>
        <v>33777.8463518222</v>
      </c>
      <c r="J18" s="51" t="n">
        <f aca="false">J15+J16+J17</f>
        <v>51515.1146293333</v>
      </c>
      <c r="K18" s="51" t="n">
        <f aca="false">K15+K16+K17</f>
        <v>71947.8679182222</v>
      </c>
      <c r="L18" s="51" t="n">
        <f aca="false">L15+L16+L17</f>
        <v>82164.2445626667</v>
      </c>
      <c r="M18" s="51" t="n">
        <f aca="false">M15+M16+M17</f>
        <v>82164.2445626667</v>
      </c>
      <c r="N18" s="51" t="n">
        <f aca="false">N15+N16+N17</f>
        <v>82164.2445626667</v>
      </c>
    </row>
    <row r="19" customFormat="false" ht="15" hidden="false" customHeight="true" outlineLevel="0" collapsed="false">
      <c r="A19" s="26" t="s">
        <v>888</v>
      </c>
      <c r="C19" s="51" t="n">
        <f aca="false">SUM($C$18:C18)</f>
        <v>-1448259.3651024</v>
      </c>
      <c r="D19" s="51" t="n">
        <f aca="false">SUM($C$18:D18)</f>
        <v>-1472518.7302048</v>
      </c>
      <c r="E19" s="51" t="n">
        <f aca="false">SUM($C$18:E18)</f>
        <v>-1499473.58031858</v>
      </c>
      <c r="F19" s="51" t="n">
        <f aca="false">SUM($C$18:F18)</f>
        <v>-1518907.53879929</v>
      </c>
      <c r="G19" s="51" t="n">
        <f aca="false">SUM($C$18:G18)</f>
        <v>-1520604.22900249</v>
      </c>
      <c r="H19" s="51" t="n">
        <f aca="false">SUM($C$18:H18)</f>
        <v>-1504563.65092818</v>
      </c>
      <c r="I19" s="51" t="n">
        <f aca="false">SUM($C$18:I18)</f>
        <v>-1470785.80457636</v>
      </c>
      <c r="J19" s="51" t="n">
        <f aca="false">SUM($C$18:J18)</f>
        <v>-1419270.68994702</v>
      </c>
      <c r="K19" s="51" t="n">
        <f aca="false">SUM($C$18:K18)</f>
        <v>-1347322.8220288</v>
      </c>
      <c r="L19" s="51" t="n">
        <f aca="false">SUM($C$18:L18)</f>
        <v>-1265158.57746613</v>
      </c>
      <c r="M19" s="51" t="n">
        <f aca="false">SUM($C$18:M18)</f>
        <v>-1182994.33290347</v>
      </c>
      <c r="N19" s="51" t="n">
        <f aca="false">SUM($C$18:N18)</f>
        <v>-1100830.0883408</v>
      </c>
    </row>
    <row r="20" customFormat="false" ht="15" hidden="false" customHeight="true" outlineLevel="0" collapsed="false">
      <c r="A20" s="115" t="s">
        <v>247</v>
      </c>
      <c r="C20" s="51" t="n">
        <f aca="false">IF(1=1,Financing!$B$13,0)</f>
        <v>2137147.8472551</v>
      </c>
      <c r="D20" s="51" t="n">
        <f aca="false">IF(2=1,Financing!$B$13,0)</f>
        <v>0</v>
      </c>
      <c r="E20" s="51" t="n">
        <f aca="false">IF(3=1,Financing!$B$13,0)</f>
        <v>0</v>
      </c>
      <c r="F20" s="51" t="n">
        <f aca="false">IF(4=1,Financing!$B$13,0)</f>
        <v>0</v>
      </c>
      <c r="G20" s="51" t="n">
        <f aca="false">IF(5=1,Financing!$B$13,0)</f>
        <v>0</v>
      </c>
      <c r="H20" s="51" t="n">
        <f aca="false">IF(6=1,Financing!$B$13,0)</f>
        <v>0</v>
      </c>
      <c r="I20" s="51" t="n">
        <f aca="false">IF(7=1,Financing!$B$13,0)</f>
        <v>0</v>
      </c>
      <c r="J20" s="51" t="n">
        <f aca="false">IF(8=1,Financing!$B$13,0)</f>
        <v>0</v>
      </c>
      <c r="K20" s="51" t="n">
        <f aca="false">IF(9=1,Financing!$B$13,0)</f>
        <v>0</v>
      </c>
      <c r="L20" s="51" t="n">
        <f aca="false">IF(10=1,Financing!$B$13,0)</f>
        <v>0</v>
      </c>
      <c r="M20" s="51" t="n">
        <f aca="false">IF(11=1,Financing!$B$13,0)</f>
        <v>0</v>
      </c>
      <c r="N20" s="51" t="n">
        <f aca="false">IF(12=1,Financing!$B$13,0)</f>
        <v>0</v>
      </c>
    </row>
    <row r="21" customFormat="false" ht="15" hidden="false" customHeight="true" outlineLevel="0" collapsed="false">
      <c r="A21" s="115" t="s">
        <v>889</v>
      </c>
      <c r="C21" s="51" t="n">
        <f aca="false">-Financing!$B$14/12</f>
        <v>-45194.5775255353</v>
      </c>
      <c r="D21" s="51" t="n">
        <f aca="false">-Financing!$B$14/12</f>
        <v>-45194.5775255353</v>
      </c>
      <c r="E21" s="51" t="n">
        <f aca="false">-Financing!$B$14/12</f>
        <v>-45194.5775255353</v>
      </c>
      <c r="F21" s="51" t="n">
        <f aca="false">-Financing!$B$14/12</f>
        <v>-45194.5775255353</v>
      </c>
      <c r="G21" s="51" t="n">
        <f aca="false">-Financing!$B$14/12</f>
        <v>-45194.5775255353</v>
      </c>
      <c r="H21" s="51" t="n">
        <f aca="false">-Financing!$B$14/12</f>
        <v>-45194.5775255353</v>
      </c>
      <c r="I21" s="51" t="n">
        <f aca="false">-Financing!$B$14/12</f>
        <v>-45194.5775255353</v>
      </c>
      <c r="J21" s="51" t="n">
        <f aca="false">-Financing!$B$14/12</f>
        <v>-45194.5775255353</v>
      </c>
      <c r="K21" s="51" t="n">
        <f aca="false">-Financing!$B$14/12</f>
        <v>-45194.5775255353</v>
      </c>
      <c r="L21" s="51" t="n">
        <f aca="false">-Financing!$B$14/12</f>
        <v>-45194.5775255353</v>
      </c>
      <c r="M21" s="51" t="n">
        <f aca="false">-Financing!$B$14/12</f>
        <v>-45194.5775255353</v>
      </c>
      <c r="N21" s="51" t="n">
        <f aca="false">-Financing!$B$14/12</f>
        <v>-45194.5775255353</v>
      </c>
    </row>
    <row r="22" customFormat="false" ht="15" hidden="false" customHeight="true" outlineLevel="0" collapsed="false">
      <c r="A22" s="26" t="s">
        <v>890</v>
      </c>
      <c r="C22" s="51" t="n">
        <f aca="false">SUM($C$18:C18)+SUM($C$20:C21)</f>
        <v>643693.904627168</v>
      </c>
      <c r="D22" s="51" t="n">
        <f aca="false">SUM($C$18:D18)+SUM($C$20:D21)</f>
        <v>574239.961999232</v>
      </c>
      <c r="E22" s="51" t="n">
        <f aca="false">SUM($C$18:E18)+SUM($C$20:E21)</f>
        <v>502090.534359919</v>
      </c>
      <c r="F22" s="51" t="n">
        <f aca="false">SUM($C$18:F18)+SUM($C$20:F21)</f>
        <v>437461.998353673</v>
      </c>
      <c r="G22" s="51" t="n">
        <f aca="false">SUM($C$18:G18)+SUM($C$20:G21)</f>
        <v>390570.730624937</v>
      </c>
      <c r="H22" s="51" t="n">
        <f aca="false">SUM($C$18:H18)+SUM($C$20:H21)</f>
        <v>361416.731173713</v>
      </c>
      <c r="I22" s="51" t="n">
        <f aca="false">SUM($C$18:I18)+SUM($C$20:I21)</f>
        <v>350000</v>
      </c>
      <c r="J22" s="51" t="n">
        <f aca="false">SUM($C$18:J18)+SUM($C$20:J21)</f>
        <v>356320.537103798</v>
      </c>
      <c r="K22" s="51" t="n">
        <f aca="false">SUM($C$18:K18)+SUM($C$20:K21)</f>
        <v>383073.827496485</v>
      </c>
      <c r="L22" s="51" t="n">
        <f aca="false">SUM($C$18:L18)+SUM($C$20:L21)</f>
        <v>420043.494533617</v>
      </c>
      <c r="M22" s="51" t="n">
        <f aca="false">SUM($C$18:M18)+SUM($C$20:M21)</f>
        <v>457013.161570748</v>
      </c>
      <c r="N22" s="51" t="n">
        <f aca="false">SUM($C$18:N18)+SUM($C$20:N21)</f>
        <v>493982.828607879</v>
      </c>
    </row>
    <row r="23" customFormat="false" ht="15" hidden="false" customHeight="true" outlineLevel="0" collapsed="false">
      <c r="A23" s="26" t="s">
        <v>891</v>
      </c>
      <c r="C23" s="51" t="n">
        <f aca="false">(Financing!$B$7-C19)/(1-C$12*Financing!$B$16/12)</f>
        <v>1837108.9768328</v>
      </c>
      <c r="D23" s="51" t="n">
        <f aca="false">(Financing!$B$7-D19)/(1-D$12*Financing!$B$16/12)</f>
        <v>1903004.97839587</v>
      </c>
      <c r="E23" s="51" t="n">
        <f aca="false">(Financing!$B$7-E19)/(1-E$12*Financing!$B$16/12)</f>
        <v>1974754.86882813</v>
      </c>
      <c r="F23" s="51" t="n">
        <f aca="false">(Financing!$B$7-F19)/(1-F$12*Financing!$B$16/12)</f>
        <v>2041603.9237026</v>
      </c>
      <c r="G23" s="51" t="n">
        <f aca="false">(Financing!$B$7-G19)/(1-G$12*Financing!$B$16/12)</f>
        <v>2091780.12768559</v>
      </c>
      <c r="H23" s="51" t="n">
        <f aca="false">(Financing!$B$7-H19)/(1-H$12*Financing!$B$16/12)</f>
        <v>2124072.0171528</v>
      </c>
      <c r="I23" s="51" t="n">
        <f aca="false">(Financing!$B$7-I19)/(1-I$12*Financing!$B$16/12)</f>
        <v>2137147.8472551</v>
      </c>
      <c r="J23" s="51" t="n">
        <f aca="false">(Financing!$B$7-J19)/(1-J$12*Financing!$B$16/12)</f>
        <v>2129540.28417466</v>
      </c>
      <c r="K23" s="51" t="n">
        <f aca="false">(Financing!$B$7-K19)/(1-K$12*Financing!$B$16/12)</f>
        <v>2096299.60633069</v>
      </c>
      <c r="L23" s="51" t="n">
        <f aca="false">(Financing!$B$7-L19)/(1-L$12*Financing!$B$16/12)</f>
        <v>2048319.74405968</v>
      </c>
      <c r="M23" s="51" t="n">
        <f aca="false">(Financing!$B$7-M19)/(1-M$12*Financing!$B$16/12)</f>
        <v>1997695.46752546</v>
      </c>
      <c r="N23" s="51" t="n">
        <f aca="false">(Financing!$B$7-N19)/(1-N$12*Financing!$B$16/12)</f>
        <v>1944201.96066812</v>
      </c>
    </row>
    <row r="24" customFormat="false" ht="15" hidden="false" customHeight="true" outlineLevel="0" collapsed="false">
      <c r="A24" s="26" t="s">
        <v>892</v>
      </c>
    </row>
    <row r="25" customFormat="false" ht="15" hidden="false" customHeight="true" outlineLevel="0" collapsed="false">
      <c r="A25" s="115" t="s">
        <v>893</v>
      </c>
      <c r="B25" s="117" t="n">
        <f aca="false">-MIN(0,MIN(C19:N19))</f>
        <v>1520604.22900249</v>
      </c>
    </row>
    <row r="26" customFormat="false" ht="15" hidden="false" customHeight="true" outlineLevel="0" collapsed="false">
      <c r="A26" s="115" t="s">
        <v>894</v>
      </c>
      <c r="B26" s="117" t="n">
        <f aca="false">-MIN(0,MIN(Class_NVIDIA_Datacenter!B97:G97))</f>
        <v>438029.065248</v>
      </c>
    </row>
    <row r="27" customFormat="false" ht="15" hidden="false" customHeight="true" outlineLevel="0" collapsed="false">
      <c r="A27" s="115" t="s">
        <v>895</v>
      </c>
      <c r="B27" s="117" t="n">
        <f aca="false">B25-B26</f>
        <v>1082575.16375449</v>
      </c>
    </row>
    <row r="28" customFormat="false" ht="15" hidden="false" customHeight="true" outlineLevel="0" collapsed="false">
      <c r="A28" s="115" t="s">
        <v>896</v>
      </c>
      <c r="B28" s="117" t="n">
        <f aca="false">MIN(C22:N22)</f>
        <v>350000</v>
      </c>
    </row>
    <row r="29" customFormat="false" ht="15" hidden="false" customHeight="true" outlineLevel="0" collapsed="false">
      <c r="A29" s="115" t="s">
        <v>897</v>
      </c>
      <c r="B29" s="117" t="n">
        <f aca="false">SUM(C15:N15)</f>
        <v>735579.1184</v>
      </c>
    </row>
    <row r="30" customFormat="false" ht="15" hidden="false" customHeight="true" outlineLevel="0" collapsed="false">
      <c r="A30" s="115" t="s">
        <v>898</v>
      </c>
      <c r="B30" s="117" t="n">
        <f aca="false">Class_NVIDIA_Datacenter!B91</f>
        <v>1471158.2368</v>
      </c>
    </row>
    <row r="31" customFormat="false" ht="15" hidden="false" customHeight="true" outlineLevel="0" collapsed="false">
      <c r="A31" s="115" t="s">
        <v>899</v>
      </c>
      <c r="B31" s="117" t="n">
        <f aca="false">SUM(C14:N14)-SUM(C15:N15)</f>
        <v>183894.7796</v>
      </c>
    </row>
    <row r="32" customFormat="false" ht="15" hidden="false" customHeight="true" outlineLevel="0" collapsed="false">
      <c r="A32" s="115" t="s">
        <v>900</v>
      </c>
      <c r="B32" s="117" t="n">
        <f aca="false">MAX(C23:N23)</f>
        <v>2137147.8472551</v>
      </c>
    </row>
  </sheetData>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44"/>
    <col collapsed="false" customWidth="true" hidden="false" outlineLevel="0" max="4" min="2" style="1" width="16"/>
    <col collapsed="false" customWidth="true" hidden="false" outlineLevel="0" max="5" min="5" style="1" width="12"/>
    <col collapsed="false" customWidth="true" hidden="false" outlineLevel="0" max="6" min="6" style="1" width="74"/>
  </cols>
  <sheetData>
    <row r="1" customFormat="false" ht="15.75" hidden="false" customHeight="true" outlineLevel="0" collapsed="false">
      <c r="A1" s="2" t="s">
        <v>901</v>
      </c>
    </row>
    <row r="2" customFormat="false" ht="15" hidden="false" customHeight="true" outlineLevel="0" collapsed="false">
      <c r="A2" s="118" t="s">
        <v>902</v>
      </c>
    </row>
    <row r="3" customFormat="false" ht="15" hidden="false" customHeight="true" outlineLevel="0" collapsed="false">
      <c r="A3" s="44" t="s">
        <v>903</v>
      </c>
    </row>
    <row r="5" customFormat="false" ht="15" hidden="false" customHeight="true" outlineLevel="0" collapsed="false">
      <c r="A5" s="4" t="s">
        <v>904</v>
      </c>
    </row>
    <row r="6" customFormat="false" ht="15" hidden="false" customHeight="true" outlineLevel="0" collapsed="false">
      <c r="A6" s="3" t="s">
        <v>222</v>
      </c>
      <c r="B6" s="119" t="n">
        <v>15.2</v>
      </c>
      <c r="E6" s="3" t="s">
        <v>905</v>
      </c>
      <c r="F6" s="7" t="s">
        <v>906</v>
      </c>
    </row>
    <row r="7" customFormat="false" ht="15" hidden="false" customHeight="true" outlineLevel="0" collapsed="false">
      <c r="A7" s="3" t="s">
        <v>907</v>
      </c>
      <c r="B7" s="83" t="n">
        <f aca="false">B6*0.6*1.25</f>
        <v>11.4</v>
      </c>
      <c r="E7" s="3" t="s">
        <v>905</v>
      </c>
    </row>
    <row r="8" customFormat="false" ht="15" hidden="false" customHeight="true" outlineLevel="0" collapsed="false">
      <c r="A8" s="6" t="s">
        <v>908</v>
      </c>
      <c r="B8" s="82" t="n">
        <f aca="false">B7*8760</f>
        <v>99864</v>
      </c>
      <c r="E8" s="3" t="s">
        <v>909</v>
      </c>
    </row>
    <row r="11" customFormat="false" ht="15" hidden="false" customHeight="true" outlineLevel="0" collapsed="false">
      <c r="A11" s="4" t="s">
        <v>910</v>
      </c>
    </row>
    <row r="12" customFormat="false" ht="15" hidden="false" customHeight="true" outlineLevel="0" collapsed="false">
      <c r="A12" s="3" t="s">
        <v>911</v>
      </c>
      <c r="B12" s="49" t="n">
        <v>0.145</v>
      </c>
      <c r="F12" s="7" t="s">
        <v>912</v>
      </c>
    </row>
    <row r="13" customFormat="false" ht="15" hidden="false" customHeight="true" outlineLevel="0" collapsed="false">
      <c r="A13" s="6" t="s">
        <v>913</v>
      </c>
      <c r="B13" s="120" t="n">
        <f aca="false">B8/(Inputs!$B$14*B12)</f>
        <v>78.6206896551724</v>
      </c>
      <c r="E13" s="3" t="s">
        <v>914</v>
      </c>
    </row>
    <row r="14" customFormat="false" ht="15" hidden="false" customHeight="true" outlineLevel="0" collapsed="false">
      <c r="A14" s="3" t="s">
        <v>915</v>
      </c>
      <c r="B14" s="121" t="n">
        <v>2.2</v>
      </c>
      <c r="F14" s="7" t="s">
        <v>916</v>
      </c>
    </row>
    <row r="15" customFormat="false" ht="15" hidden="false" customHeight="true" outlineLevel="0" collapsed="false">
      <c r="A15" s="6" t="s">
        <v>917</v>
      </c>
      <c r="B15" s="19" t="n">
        <f aca="false">B13*1000*B14</f>
        <v>172965.517241379</v>
      </c>
    </row>
    <row r="16" customFormat="false" ht="15" hidden="false" customHeight="true" outlineLevel="0" collapsed="false">
      <c r="A16" s="3" t="s">
        <v>918</v>
      </c>
      <c r="B16" s="49" t="n">
        <v>0</v>
      </c>
      <c r="F16" s="7" t="s">
        <v>919</v>
      </c>
    </row>
    <row r="17" customFormat="false" ht="15" hidden="false" customHeight="true" outlineLevel="0" collapsed="false">
      <c r="A17" s="3" t="s">
        <v>920</v>
      </c>
      <c r="B17" s="49" t="n">
        <v>0</v>
      </c>
      <c r="F17" s="7" t="s">
        <v>921</v>
      </c>
    </row>
    <row r="18" customFormat="false" ht="15" hidden="false" customHeight="true" outlineLevel="0" collapsed="false">
      <c r="A18" s="3" t="s">
        <v>922</v>
      </c>
      <c r="B18" s="122" t="n">
        <f aca="false">MIN(1,B16+B17)</f>
        <v>0</v>
      </c>
      <c r="F18" s="7" t="s">
        <v>923</v>
      </c>
    </row>
    <row r="19" customFormat="false" ht="15" hidden="false" customHeight="true" outlineLevel="0" collapsed="false">
      <c r="A19" s="6" t="s">
        <v>924</v>
      </c>
      <c r="B19" s="19" t="n">
        <f aca="false">B15*(1-B18)</f>
        <v>172965.517241379</v>
      </c>
    </row>
    <row r="20" customFormat="false" ht="15" hidden="false" customHeight="true" outlineLevel="0" collapsed="false">
      <c r="A20" s="3" t="s">
        <v>925</v>
      </c>
      <c r="B20" s="91" t="n">
        <v>25</v>
      </c>
    </row>
    <row r="21" customFormat="false" ht="15" hidden="false" customHeight="true" outlineLevel="0" collapsed="false">
      <c r="A21" s="3" t="s">
        <v>926</v>
      </c>
      <c r="B21" s="70" t="n">
        <v>0.93</v>
      </c>
    </row>
    <row r="22" customFormat="false" ht="15" hidden="false" customHeight="true" outlineLevel="0" collapsed="false">
      <c r="A22" s="3" t="s">
        <v>927</v>
      </c>
      <c r="B22" s="93" t="n">
        <f aca="false">B8*B20*B21</f>
        <v>2321838</v>
      </c>
      <c r="E22" s="3" t="s">
        <v>909</v>
      </c>
    </row>
    <row r="23" customFormat="false" ht="15" hidden="false" customHeight="true" outlineLevel="0" collapsed="false">
      <c r="A23" s="3" t="s">
        <v>928</v>
      </c>
      <c r="B23" s="123" t="n">
        <v>0.008</v>
      </c>
      <c r="E23" s="3" t="s">
        <v>929</v>
      </c>
    </row>
    <row r="24" customFormat="false" ht="15" hidden="false" customHeight="true" outlineLevel="0" collapsed="false">
      <c r="A24" s="6" t="s">
        <v>930</v>
      </c>
      <c r="B24" s="124" t="n">
        <f aca="false">B15/B22+B23</f>
        <v>0.0824950841709798</v>
      </c>
    </row>
    <row r="25" customFormat="false" ht="15" hidden="false" customHeight="true" outlineLevel="0" collapsed="false">
      <c r="A25" s="6" t="s">
        <v>931</v>
      </c>
      <c r="B25" s="124" t="n">
        <f aca="false">B19/B22+B23</f>
        <v>0.0824950841709798</v>
      </c>
      <c r="F25" s="7" t="s">
        <v>932</v>
      </c>
    </row>
    <row r="28" customFormat="false" ht="15" hidden="false" customHeight="true" outlineLevel="0" collapsed="false">
      <c r="A28" s="4" t="s">
        <v>933</v>
      </c>
    </row>
    <row r="29" customFormat="false" ht="15" hidden="false" customHeight="true" outlineLevel="0" collapsed="false">
      <c r="A29" s="125" t="s">
        <v>934</v>
      </c>
      <c r="B29" s="125" t="s">
        <v>935</v>
      </c>
      <c r="C29" s="125" t="s">
        <v>936</v>
      </c>
      <c r="D29" s="125" t="s">
        <v>937</v>
      </c>
      <c r="E29" s="125"/>
      <c r="F29" s="125" t="s">
        <v>938</v>
      </c>
    </row>
    <row r="30" customFormat="false" ht="21.75" hidden="false" customHeight="true" outlineLevel="0" collapsed="false">
      <c r="A30" s="6" t="n">
        <v>1</v>
      </c>
      <c r="B30" s="3" t="s">
        <v>939</v>
      </c>
      <c r="C30" s="126" t="n">
        <f aca="false">Inputs!$B$71</f>
        <v>0.2327</v>
      </c>
      <c r="D30" s="51" t="n">
        <f aca="false">C30*$B$8</f>
        <v>23238.3528</v>
      </c>
      <c r="F30" s="44" t="s">
        <v>940</v>
      </c>
    </row>
    <row r="31" customFormat="false" ht="21.75" hidden="false" customHeight="true" outlineLevel="0" collapsed="false">
      <c r="A31" s="6" t="n">
        <v>2</v>
      </c>
      <c r="B31" s="3" t="s">
        <v>941</v>
      </c>
      <c r="C31" s="123" t="n">
        <f aca="false">Inputs!$B$70</f>
        <v>0.2</v>
      </c>
      <c r="D31" s="51" t="n">
        <f aca="false">C31*$B$8</f>
        <v>19972.8</v>
      </c>
      <c r="F31" s="44" t="s">
        <v>942</v>
      </c>
    </row>
    <row r="32" customFormat="false" ht="21.75" hidden="false" customHeight="true" outlineLevel="0" collapsed="false">
      <c r="A32" s="6" t="n">
        <v>3</v>
      </c>
      <c r="B32" s="3" t="s">
        <v>943</v>
      </c>
      <c r="C32" s="126" t="n">
        <f aca="false">B24</f>
        <v>0.0824950841709798</v>
      </c>
      <c r="D32" s="51" t="n">
        <f aca="false">C32*$B$8</f>
        <v>8238.28908565072</v>
      </c>
      <c r="F32" s="44" t="s">
        <v>944</v>
      </c>
    </row>
    <row r="33" customFormat="false" ht="21.75" hidden="false" customHeight="true" outlineLevel="0" collapsed="false">
      <c r="A33" s="6" t="n">
        <v>4</v>
      </c>
      <c r="B33" s="3" t="s">
        <v>945</v>
      </c>
      <c r="C33" s="123" t="n">
        <f aca="false">Inputs!$B$69</f>
        <v>0</v>
      </c>
      <c r="D33" s="51" t="n">
        <f aca="false">C33*$B$8</f>
        <v>0</v>
      </c>
      <c r="F33" s="44" t="s">
        <v>946</v>
      </c>
    </row>
    <row r="34" customFormat="false" ht="32.25" hidden="false" customHeight="true" outlineLevel="0" collapsed="false">
      <c r="A34" s="6"/>
      <c r="B34" s="3"/>
      <c r="C34" s="123"/>
      <c r="D34" s="51"/>
      <c r="F34" s="44"/>
    </row>
    <row r="35" customFormat="false" ht="15" hidden="false" customHeight="true" outlineLevel="0" collapsed="false">
      <c r="A35" s="1" t="s">
        <v>947</v>
      </c>
      <c r="B35" s="73" t="n">
        <v>1</v>
      </c>
    </row>
    <row r="36" customFormat="false" ht="15" hidden="false" customHeight="true" outlineLevel="0" collapsed="false">
      <c r="A36" s="6" t="s">
        <v>948</v>
      </c>
      <c r="B36" s="74" t="n">
        <f aca="false">INDEX(C30:C33,B35)</f>
        <v>0.2327</v>
      </c>
    </row>
    <row r="37" customFormat="false" ht="15" hidden="false" customHeight="true" outlineLevel="0" collapsed="false">
      <c r="A37" s="6" t="s">
        <v>949</v>
      </c>
      <c r="B37" s="84" t="n">
        <f aca="false">B36*B8</f>
        <v>23238.3528</v>
      </c>
    </row>
    <row r="40" customFormat="false" ht="15" hidden="false" customHeight="true" outlineLevel="0" collapsed="false">
      <c r="A40" s="4" t="s">
        <v>950</v>
      </c>
    </row>
    <row r="41" customFormat="false" ht="15" hidden="false" customHeight="true" outlineLevel="0" collapsed="false">
      <c r="A41" s="7" t="s">
        <v>951</v>
      </c>
    </row>
    <row r="42" customFormat="false" ht="15" hidden="false" customHeight="true" outlineLevel="0" collapsed="false">
      <c r="A42" s="7" t="s">
        <v>952</v>
      </c>
    </row>
    <row r="43" customFormat="false" ht="15" hidden="false" customHeight="true" outlineLevel="0" collapsed="false">
      <c r="A43" s="7" t="s">
        <v>953</v>
      </c>
    </row>
    <row r="44" customFormat="false" ht="15" hidden="false" customHeight="true" outlineLevel="0" collapsed="false">
      <c r="A44" s="7"/>
    </row>
    <row r="45" customFormat="false" ht="15" hidden="false" customHeight="true" outlineLevel="0" collapsed="false">
      <c r="A45" s="7" t="s">
        <v>954</v>
      </c>
    </row>
    <row r="46" customFormat="false" ht="15" hidden="false" customHeight="true" outlineLevel="0" collapsed="false">
      <c r="A46" s="7" t="s">
        <v>955</v>
      </c>
    </row>
    <row r="47" customFormat="false" ht="15" hidden="false" customHeight="true" outlineLevel="0" collapsed="false">
      <c r="A47" s="7" t="s">
        <v>956</v>
      </c>
    </row>
    <row r="48" customFormat="false" ht="15" hidden="false" customHeight="true" outlineLevel="0" collapsed="false">
      <c r="A48" s="7"/>
    </row>
    <row r="49" customFormat="false" ht="15" hidden="false" customHeight="true" outlineLevel="0" collapsed="false">
      <c r="A49" s="7" t="s">
        <v>957</v>
      </c>
    </row>
    <row r="50" customFormat="false" ht="15" hidden="false" customHeight="true" outlineLevel="0" collapsed="false">
      <c r="A50" s="7" t="s">
        <v>958</v>
      </c>
    </row>
    <row r="51" customFormat="false" ht="15" hidden="false" customHeight="true" outlineLevel="0" collapsed="false">
      <c r="A51" s="7"/>
    </row>
    <row r="52" customFormat="false" ht="15" hidden="false" customHeight="true" outlineLevel="0" collapsed="false">
      <c r="A52" s="7" t="s">
        <v>959</v>
      </c>
    </row>
    <row r="53" customFormat="false" ht="15" hidden="false" customHeight="true" outlineLevel="0" collapsed="false">
      <c r="A53" s="7" t="s">
        <v>960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8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4"/>
    <col collapsed="false" customWidth="true" hidden="false" outlineLevel="0" max="2" min="2" style="1" width="34"/>
    <col collapsed="false" customWidth="true" hidden="false" outlineLevel="0" max="3" min="3" style="1" width="24"/>
    <col collapsed="false" customWidth="true" hidden="false" outlineLevel="0" max="4" min="4" style="1" width="26"/>
    <col collapsed="false" customWidth="true" hidden="false" outlineLevel="0" max="5" min="5" style="1" width="12"/>
    <col collapsed="false" customWidth="true" hidden="false" outlineLevel="0" max="6" min="6" style="1" width="46"/>
  </cols>
  <sheetData>
    <row r="1" customFormat="false" ht="15.75" hidden="false" customHeight="true" outlineLevel="0" collapsed="false">
      <c r="A1" s="2" t="s">
        <v>961</v>
      </c>
    </row>
    <row r="2" customFormat="false" ht="15" hidden="false" customHeight="true" outlineLevel="0" collapsed="false">
      <c r="A2" s="7" t="s">
        <v>962</v>
      </c>
    </row>
    <row r="4" customFormat="false" ht="15" hidden="false" customHeight="true" outlineLevel="0" collapsed="false">
      <c r="A4" s="125" t="s">
        <v>934</v>
      </c>
      <c r="B4" s="125" t="s">
        <v>963</v>
      </c>
      <c r="C4" s="125" t="s">
        <v>964</v>
      </c>
      <c r="D4" s="125" t="s">
        <v>965</v>
      </c>
      <c r="E4" s="125" t="s">
        <v>966</v>
      </c>
      <c r="F4" s="125" t="s">
        <v>967</v>
      </c>
    </row>
    <row r="5" customFormat="false" ht="23.25" hidden="false" customHeight="true" outlineLevel="0" collapsed="false">
      <c r="A5" s="9" t="s">
        <v>968</v>
      </c>
      <c r="B5" s="9" t="s">
        <v>969</v>
      </c>
      <c r="C5" s="9" t="s">
        <v>970</v>
      </c>
      <c r="D5" s="9" t="s">
        <v>971</v>
      </c>
      <c r="E5" s="43" t="s">
        <v>972</v>
      </c>
      <c r="F5" s="9" t="s">
        <v>973</v>
      </c>
    </row>
    <row r="6" customFormat="false" ht="23.25" hidden="false" customHeight="true" outlineLevel="0" collapsed="false">
      <c r="A6" s="9" t="n">
        <v>1</v>
      </c>
      <c r="B6" s="9" t="s">
        <v>974</v>
      </c>
      <c r="C6" s="9" t="s">
        <v>975</v>
      </c>
      <c r="D6" s="9" t="s">
        <v>976</v>
      </c>
      <c r="E6" s="43" t="s">
        <v>972</v>
      </c>
      <c r="F6" s="9" t="s">
        <v>977</v>
      </c>
    </row>
    <row r="7" customFormat="false" ht="23.25" hidden="false" customHeight="true" outlineLevel="0" collapsed="false">
      <c r="A7" s="9" t="n">
        <v>2</v>
      </c>
      <c r="B7" s="9" t="s">
        <v>978</v>
      </c>
      <c r="C7" s="9" t="s">
        <v>979</v>
      </c>
      <c r="D7" s="9" t="s">
        <v>980</v>
      </c>
      <c r="E7" s="127" t="s">
        <v>981</v>
      </c>
      <c r="F7" s="9" t="s">
        <v>982</v>
      </c>
    </row>
    <row r="8" customFormat="false" ht="34.5" hidden="false" customHeight="true" outlineLevel="0" collapsed="false">
      <c r="A8" s="9" t="n">
        <v>3</v>
      </c>
      <c r="B8" s="9" t="s">
        <v>983</v>
      </c>
      <c r="C8" s="9" t="s">
        <v>984</v>
      </c>
      <c r="D8" s="9" t="s">
        <v>985</v>
      </c>
      <c r="E8" s="43" t="s">
        <v>972</v>
      </c>
      <c r="F8" s="9" t="s">
        <v>986</v>
      </c>
    </row>
    <row r="9" customFormat="false" ht="23.25" hidden="false" customHeight="true" outlineLevel="0" collapsed="false">
      <c r="A9" s="9" t="n">
        <v>4</v>
      </c>
      <c r="B9" s="9" t="s">
        <v>987</v>
      </c>
      <c r="C9" s="9" t="s">
        <v>988</v>
      </c>
      <c r="D9" s="9" t="s">
        <v>989</v>
      </c>
      <c r="E9" s="9" t="s">
        <v>990</v>
      </c>
      <c r="F9" s="9" t="s">
        <v>991</v>
      </c>
    </row>
    <row r="10" customFormat="false" ht="23.25" hidden="false" customHeight="true" outlineLevel="0" collapsed="false">
      <c r="A10" s="9" t="n">
        <v>5</v>
      </c>
      <c r="B10" s="9" t="s">
        <v>992</v>
      </c>
      <c r="C10" s="9" t="s">
        <v>993</v>
      </c>
      <c r="D10" s="9" t="s">
        <v>994</v>
      </c>
      <c r="E10" s="43" t="s">
        <v>972</v>
      </c>
      <c r="F10" s="9" t="s">
        <v>995</v>
      </c>
    </row>
    <row r="11" customFormat="false" ht="23.25" hidden="false" customHeight="true" outlineLevel="0" collapsed="false">
      <c r="A11" s="9" t="n">
        <v>6</v>
      </c>
      <c r="B11" s="9" t="s">
        <v>996</v>
      </c>
      <c r="C11" s="9" t="s">
        <v>997</v>
      </c>
      <c r="D11" s="9" t="s">
        <v>998</v>
      </c>
      <c r="E11" s="9" t="s">
        <v>990</v>
      </c>
      <c r="F11" s="9" t="s">
        <v>999</v>
      </c>
    </row>
    <row r="12" customFormat="false" ht="23.25" hidden="false" customHeight="true" outlineLevel="0" collapsed="false">
      <c r="A12" s="9" t="n">
        <v>7</v>
      </c>
      <c r="B12" s="9" t="s">
        <v>1000</v>
      </c>
      <c r="C12" s="9" t="s">
        <v>1001</v>
      </c>
      <c r="D12" s="9" t="s">
        <v>1002</v>
      </c>
      <c r="E12" s="127" t="s">
        <v>981</v>
      </c>
      <c r="F12" s="9" t="s">
        <v>1003</v>
      </c>
    </row>
    <row r="13" customFormat="false" ht="34.5" hidden="false" customHeight="true" outlineLevel="0" collapsed="false">
      <c r="A13" s="9" t="n">
        <v>8</v>
      </c>
      <c r="B13" s="9" t="s">
        <v>1004</v>
      </c>
      <c r="C13" s="9" t="s">
        <v>1005</v>
      </c>
      <c r="D13" s="9" t="s">
        <v>1006</v>
      </c>
      <c r="E13" s="127" t="s">
        <v>981</v>
      </c>
      <c r="F13" s="9" t="s">
        <v>1007</v>
      </c>
    </row>
    <row r="14" customFormat="false" ht="34.5" hidden="false" customHeight="true" outlineLevel="0" collapsed="false">
      <c r="A14" s="9" t="n">
        <v>9</v>
      </c>
      <c r="B14" s="9" t="s">
        <v>1008</v>
      </c>
      <c r="C14" s="9" t="s">
        <v>1009</v>
      </c>
      <c r="D14" s="9" t="s">
        <v>1010</v>
      </c>
      <c r="E14" s="43" t="s">
        <v>972</v>
      </c>
      <c r="F14" s="9" t="s">
        <v>1011</v>
      </c>
    </row>
    <row r="15" customFormat="false" ht="34.5" hidden="false" customHeight="true" outlineLevel="0" collapsed="false">
      <c r="A15" s="9" t="n">
        <v>10</v>
      </c>
      <c r="B15" s="9" t="s">
        <v>1012</v>
      </c>
      <c r="C15" s="9" t="s">
        <v>1013</v>
      </c>
      <c r="D15" s="9" t="s">
        <v>1014</v>
      </c>
      <c r="E15" s="127" t="s">
        <v>981</v>
      </c>
      <c r="F15" s="9" t="s">
        <v>1015</v>
      </c>
    </row>
    <row r="16" customFormat="false" ht="34.5" hidden="false" customHeight="true" outlineLevel="0" collapsed="false">
      <c r="A16" s="9" t="n">
        <v>11</v>
      </c>
      <c r="B16" s="9" t="s">
        <v>1016</v>
      </c>
      <c r="C16" s="9" t="s">
        <v>1017</v>
      </c>
      <c r="D16" s="9" t="s">
        <v>1018</v>
      </c>
      <c r="E16" s="127" t="s">
        <v>981</v>
      </c>
      <c r="F16" s="9" t="s">
        <v>1019</v>
      </c>
    </row>
    <row r="17" customFormat="false" ht="34.5" hidden="false" customHeight="true" outlineLevel="0" collapsed="false">
      <c r="A17" s="9" t="n">
        <v>12</v>
      </c>
      <c r="B17" s="9" t="s">
        <v>1020</v>
      </c>
      <c r="C17" s="9" t="s">
        <v>1021</v>
      </c>
      <c r="D17" s="9" t="s">
        <v>1022</v>
      </c>
      <c r="E17" s="9" t="s">
        <v>990</v>
      </c>
      <c r="F17" s="9" t="s">
        <v>1023</v>
      </c>
    </row>
    <row r="18" customFormat="false" ht="34.5" hidden="false" customHeight="true" outlineLevel="0" collapsed="false">
      <c r="A18" s="9" t="n">
        <v>13</v>
      </c>
      <c r="B18" s="9" t="s">
        <v>1024</v>
      </c>
      <c r="C18" s="9" t="s">
        <v>1025</v>
      </c>
      <c r="D18" s="9" t="s">
        <v>1026</v>
      </c>
      <c r="E18" s="9" t="s">
        <v>990</v>
      </c>
      <c r="F18" s="9" t="s">
        <v>1027</v>
      </c>
    </row>
    <row r="19" customFormat="false" ht="23.25" hidden="false" customHeight="true" outlineLevel="0" collapsed="false">
      <c r="A19" s="9" t="n">
        <v>14</v>
      </c>
      <c r="B19" s="9" t="s">
        <v>1028</v>
      </c>
      <c r="C19" s="9" t="s">
        <v>1029</v>
      </c>
      <c r="D19" s="9" t="s">
        <v>1030</v>
      </c>
      <c r="E19" s="9" t="s">
        <v>990</v>
      </c>
      <c r="F19" s="9" t="s">
        <v>1031</v>
      </c>
    </row>
    <row r="20" customFormat="false" ht="23.25" hidden="false" customHeight="true" outlineLevel="0" collapsed="false">
      <c r="A20" s="9" t="n">
        <v>15</v>
      </c>
      <c r="B20" s="9" t="s">
        <v>1032</v>
      </c>
      <c r="C20" s="9" t="s">
        <v>1033</v>
      </c>
      <c r="D20" s="9" t="s">
        <v>1034</v>
      </c>
      <c r="E20" s="9" t="s">
        <v>990</v>
      </c>
      <c r="F20" s="9" t="s">
        <v>1035</v>
      </c>
    </row>
    <row r="21" customFormat="false" ht="23.25" hidden="false" customHeight="true" outlineLevel="0" collapsed="false">
      <c r="A21" s="9" t="n">
        <v>16</v>
      </c>
      <c r="B21" s="9" t="s">
        <v>1036</v>
      </c>
      <c r="C21" s="9" t="s">
        <v>1037</v>
      </c>
      <c r="D21" s="9" t="s">
        <v>1038</v>
      </c>
      <c r="E21" s="127" t="s">
        <v>981</v>
      </c>
      <c r="F21" s="9" t="s">
        <v>1039</v>
      </c>
    </row>
    <row r="22" customFormat="false" ht="23.25" hidden="false" customHeight="true" outlineLevel="0" collapsed="false">
      <c r="A22" s="9" t="n">
        <v>17</v>
      </c>
      <c r="B22" s="9" t="s">
        <v>1040</v>
      </c>
      <c r="C22" s="9" t="s">
        <v>1041</v>
      </c>
      <c r="D22" s="9" t="s">
        <v>1042</v>
      </c>
      <c r="E22" s="9" t="s">
        <v>990</v>
      </c>
      <c r="F22" s="9" t="s">
        <v>1043</v>
      </c>
    </row>
    <row r="23" customFormat="false" ht="23.25" hidden="false" customHeight="true" outlineLevel="0" collapsed="false">
      <c r="A23" s="9" t="n">
        <v>18</v>
      </c>
      <c r="B23" s="9" t="s">
        <v>1044</v>
      </c>
      <c r="C23" s="9" t="s">
        <v>1045</v>
      </c>
      <c r="D23" s="9" t="s">
        <v>1046</v>
      </c>
      <c r="E23" s="127" t="s">
        <v>981</v>
      </c>
      <c r="F23" s="9" t="s">
        <v>1047</v>
      </c>
    </row>
    <row r="24" customFormat="false" ht="23.25" hidden="false" customHeight="true" outlineLevel="0" collapsed="false">
      <c r="A24" s="9" t="n">
        <v>19</v>
      </c>
      <c r="B24" s="9" t="s">
        <v>1048</v>
      </c>
      <c r="C24" s="9" t="s">
        <v>1049</v>
      </c>
      <c r="D24" s="9" t="s">
        <v>1050</v>
      </c>
      <c r="E24" s="127" t="s">
        <v>981</v>
      </c>
      <c r="F24" s="9" t="s">
        <v>1051</v>
      </c>
    </row>
    <row r="25" customFormat="false" ht="23.25" hidden="false" customHeight="true" outlineLevel="0" collapsed="false">
      <c r="A25" s="9" t="n">
        <v>20</v>
      </c>
      <c r="B25" s="9" t="s">
        <v>1052</v>
      </c>
      <c r="C25" s="9" t="s">
        <v>1053</v>
      </c>
      <c r="D25" s="9" t="s">
        <v>1054</v>
      </c>
      <c r="E25" s="9" t="s">
        <v>990</v>
      </c>
      <c r="F25" s="9" t="s">
        <v>1055</v>
      </c>
    </row>
    <row r="26" customFormat="false" ht="68.25" hidden="false" customHeight="true" outlineLevel="0" collapsed="false">
      <c r="A26" s="3" t="n">
        <v>22</v>
      </c>
      <c r="B26" s="9" t="s">
        <v>1056</v>
      </c>
      <c r="C26" s="9" t="s">
        <v>1057</v>
      </c>
      <c r="D26" s="9" t="s">
        <v>1058</v>
      </c>
      <c r="E26" s="45" t="s">
        <v>981</v>
      </c>
      <c r="F26" s="9" t="s">
        <v>1059</v>
      </c>
    </row>
    <row r="27" customFormat="false" ht="68.25" hidden="false" customHeight="true" outlineLevel="0" collapsed="false">
      <c r="A27" s="3" t="n">
        <v>23</v>
      </c>
      <c r="B27" s="9" t="s">
        <v>1060</v>
      </c>
      <c r="C27" s="9" t="s">
        <v>1061</v>
      </c>
      <c r="D27" s="9" t="s">
        <v>1062</v>
      </c>
      <c r="E27" s="45" t="s">
        <v>981</v>
      </c>
      <c r="F27" s="9" t="s">
        <v>1063</v>
      </c>
    </row>
    <row r="28" customFormat="false" ht="68.25" hidden="false" customHeight="true" outlineLevel="0" collapsed="false">
      <c r="A28" s="3" t="n">
        <v>24</v>
      </c>
      <c r="B28" s="9" t="s">
        <v>1064</v>
      </c>
      <c r="C28" s="9" t="s">
        <v>1061</v>
      </c>
      <c r="D28" s="9" t="s">
        <v>1065</v>
      </c>
      <c r="E28" s="45" t="s">
        <v>981</v>
      </c>
      <c r="F28" s="9" t="s">
        <v>1066</v>
      </c>
    </row>
    <row r="29" customFormat="false" ht="57" hidden="false" customHeight="true" outlineLevel="0" collapsed="false">
      <c r="A29" s="3" t="n">
        <v>25</v>
      </c>
      <c r="B29" s="9" t="s">
        <v>1067</v>
      </c>
      <c r="C29" s="9" t="s">
        <v>1068</v>
      </c>
      <c r="D29" s="9" t="s">
        <v>1069</v>
      </c>
      <c r="E29" s="6" t="s">
        <v>990</v>
      </c>
      <c r="F29" s="9" t="s">
        <v>1070</v>
      </c>
    </row>
    <row r="30" customFormat="false" ht="34.5" hidden="false" customHeight="true" outlineLevel="0" collapsed="false">
      <c r="A30" s="3" t="n">
        <v>26</v>
      </c>
      <c r="B30" s="9" t="s">
        <v>1071</v>
      </c>
      <c r="C30" s="9" t="s">
        <v>1057</v>
      </c>
      <c r="D30" s="9" t="s">
        <v>1072</v>
      </c>
      <c r="E30" s="6" t="s">
        <v>990</v>
      </c>
      <c r="F30" s="9" t="s">
        <v>1073</v>
      </c>
    </row>
    <row r="31" customFormat="false" ht="23.25" hidden="false" customHeight="true" outlineLevel="0" collapsed="false">
      <c r="A31" s="3" t="n">
        <v>27</v>
      </c>
      <c r="B31" s="9" t="s">
        <v>1074</v>
      </c>
      <c r="C31" s="9" t="s">
        <v>1075</v>
      </c>
      <c r="D31" s="9" t="s">
        <v>1076</v>
      </c>
      <c r="E31" s="6" t="s">
        <v>1077</v>
      </c>
      <c r="F31" s="9" t="s">
        <v>1078</v>
      </c>
    </row>
    <row r="32" customFormat="false" ht="45.75" hidden="false" customHeight="true" outlineLevel="0" collapsed="false">
      <c r="A32" s="3" t="n">
        <v>28</v>
      </c>
      <c r="B32" s="9" t="s">
        <v>1079</v>
      </c>
      <c r="C32" s="9" t="s">
        <v>1080</v>
      </c>
      <c r="D32" s="9" t="s">
        <v>1081</v>
      </c>
      <c r="E32" s="45" t="s">
        <v>981</v>
      </c>
      <c r="F32" s="9" t="s">
        <v>1082</v>
      </c>
    </row>
    <row r="33" customFormat="false" ht="34.5" hidden="false" customHeight="true" outlineLevel="0" collapsed="false">
      <c r="A33" s="3" t="n">
        <v>29</v>
      </c>
      <c r="B33" s="9" t="s">
        <v>1083</v>
      </c>
      <c r="C33" s="9" t="s">
        <v>1084</v>
      </c>
      <c r="D33" s="9" t="s">
        <v>1085</v>
      </c>
      <c r="E33" s="128" t="s">
        <v>972</v>
      </c>
      <c r="F33" s="9" t="s">
        <v>1086</v>
      </c>
    </row>
    <row r="34" customFormat="false" ht="45.75" hidden="false" customHeight="true" outlineLevel="0" collapsed="false">
      <c r="A34" s="3" t="n">
        <v>30</v>
      </c>
      <c r="B34" s="9" t="s">
        <v>1087</v>
      </c>
      <c r="C34" s="9" t="s">
        <v>1088</v>
      </c>
      <c r="D34" s="9" t="s">
        <v>1089</v>
      </c>
      <c r="E34" s="45" t="s">
        <v>981</v>
      </c>
      <c r="F34" s="9" t="s">
        <v>1090</v>
      </c>
    </row>
    <row r="35" customFormat="false" ht="45.75" hidden="false" customHeight="true" outlineLevel="0" collapsed="false">
      <c r="A35" s="3" t="n">
        <v>31</v>
      </c>
      <c r="B35" s="9" t="s">
        <v>1091</v>
      </c>
      <c r="C35" s="9" t="s">
        <v>1092</v>
      </c>
      <c r="D35" s="9" t="s">
        <v>1093</v>
      </c>
      <c r="E35" s="6" t="s">
        <v>990</v>
      </c>
      <c r="F35" s="9" t="s">
        <v>1094</v>
      </c>
    </row>
    <row r="36" customFormat="false" ht="34.5" hidden="false" customHeight="true" outlineLevel="0" collapsed="false">
      <c r="A36" s="3" t="n">
        <v>32</v>
      </c>
      <c r="B36" s="9" t="s">
        <v>1095</v>
      </c>
      <c r="C36" s="9" t="s">
        <v>1057</v>
      </c>
      <c r="D36" s="9" t="s">
        <v>1096</v>
      </c>
      <c r="E36" s="45" t="s">
        <v>981</v>
      </c>
      <c r="F36" s="9" t="s">
        <v>1097</v>
      </c>
    </row>
    <row r="37" customFormat="false" ht="15" hidden="false" customHeight="true" outlineLevel="0" collapsed="false">
      <c r="A37" s="3" t="n">
        <v>33</v>
      </c>
      <c r="B37" s="9" t="s">
        <v>1098</v>
      </c>
      <c r="C37" s="9" t="s">
        <v>1099</v>
      </c>
      <c r="D37" s="9" t="s">
        <v>1100</v>
      </c>
      <c r="E37" s="6" t="s">
        <v>990</v>
      </c>
      <c r="F37" s="9" t="s">
        <v>1101</v>
      </c>
    </row>
    <row r="38" customFormat="false" ht="57" hidden="false" customHeight="true" outlineLevel="0" collapsed="false">
      <c r="A38" s="3" t="n">
        <v>34</v>
      </c>
      <c r="B38" s="9" t="s">
        <v>1102</v>
      </c>
      <c r="C38" s="9" t="s">
        <v>1103</v>
      </c>
      <c r="D38" s="9" t="s">
        <v>1104</v>
      </c>
      <c r="E38" s="128" t="s">
        <v>972</v>
      </c>
      <c r="F38" s="9" t="s">
        <v>1105</v>
      </c>
    </row>
    <row r="39" customFormat="false" ht="34.5" hidden="false" customHeight="true" outlineLevel="0" collapsed="false">
      <c r="A39" s="3" t="n">
        <v>35</v>
      </c>
      <c r="B39" s="9" t="s">
        <v>1106</v>
      </c>
      <c r="C39" s="9" t="s">
        <v>1107</v>
      </c>
      <c r="D39" s="9" t="s">
        <v>1108</v>
      </c>
      <c r="E39" s="45" t="s">
        <v>981</v>
      </c>
      <c r="F39" s="9" t="s">
        <v>1109</v>
      </c>
    </row>
    <row r="40" customFormat="false" ht="57" hidden="false" customHeight="true" outlineLevel="0" collapsed="false">
      <c r="A40" s="3" t="n">
        <v>36</v>
      </c>
      <c r="B40" s="9" t="s">
        <v>616</v>
      </c>
      <c r="C40" s="9" t="s">
        <v>1110</v>
      </c>
      <c r="D40" s="9" t="s">
        <v>1111</v>
      </c>
      <c r="E40" s="45" t="s">
        <v>981</v>
      </c>
      <c r="F40" s="9" t="s">
        <v>1112</v>
      </c>
    </row>
    <row r="41" customFormat="false" ht="68.25" hidden="false" customHeight="true" outlineLevel="0" collapsed="false">
      <c r="A41" s="3" t="n">
        <v>37</v>
      </c>
      <c r="B41" s="9" t="s">
        <v>1113</v>
      </c>
      <c r="C41" s="9" t="s">
        <v>1114</v>
      </c>
      <c r="D41" s="9" t="s">
        <v>1115</v>
      </c>
      <c r="E41" s="45" t="s">
        <v>981</v>
      </c>
      <c r="F41" s="9" t="s">
        <v>1116</v>
      </c>
    </row>
    <row r="42" customFormat="false" ht="68.25" hidden="false" customHeight="true" outlineLevel="0" collapsed="false">
      <c r="A42" s="3" t="n">
        <v>38</v>
      </c>
      <c r="B42" s="9" t="s">
        <v>39</v>
      </c>
      <c r="C42" s="9" t="s">
        <v>1117</v>
      </c>
      <c r="D42" s="9" t="s">
        <v>1118</v>
      </c>
      <c r="E42" s="45" t="s">
        <v>981</v>
      </c>
      <c r="F42" s="9" t="s">
        <v>1119</v>
      </c>
    </row>
    <row r="43" customFormat="false" ht="34.5" hidden="false" customHeight="true" outlineLevel="0" collapsed="false">
      <c r="A43" s="3" t="n">
        <v>39</v>
      </c>
      <c r="B43" s="9" t="s">
        <v>36</v>
      </c>
      <c r="C43" s="9" t="s">
        <v>1120</v>
      </c>
      <c r="D43" s="9" t="s">
        <v>1121</v>
      </c>
      <c r="E43" s="6" t="s">
        <v>990</v>
      </c>
      <c r="F43" s="9" t="s">
        <v>1122</v>
      </c>
    </row>
    <row r="44" customFormat="false" ht="45.75" hidden="false" customHeight="true" outlineLevel="0" collapsed="false">
      <c r="A44" s="3" t="n">
        <v>40</v>
      </c>
      <c r="B44" s="9" t="s">
        <v>1123</v>
      </c>
      <c r="C44" s="9" t="s">
        <v>1124</v>
      </c>
      <c r="D44" s="9" t="s">
        <v>1125</v>
      </c>
      <c r="E44" s="45" t="s">
        <v>981</v>
      </c>
      <c r="F44" s="9" t="s">
        <v>1126</v>
      </c>
    </row>
    <row r="45" customFormat="false" ht="57" hidden="false" customHeight="true" outlineLevel="0" collapsed="false">
      <c r="A45" s="3" t="n">
        <v>41</v>
      </c>
      <c r="B45" s="9" t="s">
        <v>1127</v>
      </c>
      <c r="C45" s="9" t="s">
        <v>1128</v>
      </c>
      <c r="D45" s="9" t="s">
        <v>1129</v>
      </c>
      <c r="E45" s="128" t="s">
        <v>972</v>
      </c>
      <c r="F45" s="9" t="s">
        <v>1130</v>
      </c>
    </row>
    <row r="46" customFormat="false" ht="45.75" hidden="false" customHeight="true" outlineLevel="0" collapsed="false">
      <c r="A46" s="3" t="n">
        <v>42</v>
      </c>
      <c r="B46" s="9" t="s">
        <v>1131</v>
      </c>
      <c r="C46" s="9" t="s">
        <v>1132</v>
      </c>
      <c r="D46" s="9" t="s">
        <v>1133</v>
      </c>
      <c r="E46" s="45" t="s">
        <v>981</v>
      </c>
      <c r="F46" s="9" t="s">
        <v>1134</v>
      </c>
    </row>
    <row r="47" customFormat="false" ht="135.75" hidden="false" customHeight="true" outlineLevel="0" collapsed="false">
      <c r="A47" s="9" t="n">
        <v>43</v>
      </c>
      <c r="B47" s="9" t="s">
        <v>1135</v>
      </c>
      <c r="C47" s="9" t="s">
        <v>1136</v>
      </c>
      <c r="D47" s="9" t="s">
        <v>1137</v>
      </c>
      <c r="E47" s="128" t="s">
        <v>972</v>
      </c>
      <c r="F47" s="9" t="s">
        <v>1138</v>
      </c>
    </row>
    <row r="48" customFormat="false" ht="57" hidden="false" customHeight="true" outlineLevel="0" collapsed="false">
      <c r="A48" s="9" t="n">
        <v>44</v>
      </c>
      <c r="B48" s="9" t="s">
        <v>1139</v>
      </c>
      <c r="C48" s="9" t="s">
        <v>1140</v>
      </c>
      <c r="D48" s="9" t="s">
        <v>1141</v>
      </c>
      <c r="E48" s="128" t="s">
        <v>972</v>
      </c>
      <c r="F48" s="9" t="s">
        <v>1142</v>
      </c>
    </row>
    <row r="49" customFormat="false" ht="45.75" hidden="false" customHeight="true" outlineLevel="0" collapsed="false">
      <c r="A49" s="9" t="n">
        <v>45</v>
      </c>
      <c r="B49" s="9" t="s">
        <v>1143</v>
      </c>
      <c r="C49" s="9" t="s">
        <v>1144</v>
      </c>
      <c r="D49" s="9" t="s">
        <v>1145</v>
      </c>
      <c r="E49" s="128" t="s">
        <v>972</v>
      </c>
      <c r="F49" s="9" t="s">
        <v>1146</v>
      </c>
    </row>
    <row r="50" customFormat="false" ht="79.5" hidden="false" customHeight="true" outlineLevel="0" collapsed="false">
      <c r="A50" s="9" t="n">
        <v>46</v>
      </c>
      <c r="B50" s="9" t="s">
        <v>1147</v>
      </c>
      <c r="C50" s="9" t="s">
        <v>1148</v>
      </c>
      <c r="D50" s="9" t="s">
        <v>1129</v>
      </c>
      <c r="E50" s="128" t="s">
        <v>972</v>
      </c>
      <c r="F50" s="9" t="s">
        <v>1149</v>
      </c>
    </row>
    <row r="51" customFormat="false" ht="90.75" hidden="false" customHeight="true" outlineLevel="0" collapsed="false">
      <c r="A51" s="9" t="n">
        <v>47</v>
      </c>
      <c r="B51" s="9" t="s">
        <v>1150</v>
      </c>
      <c r="C51" s="9" t="s">
        <v>1057</v>
      </c>
      <c r="D51" s="9" t="s">
        <v>1151</v>
      </c>
      <c r="E51" s="45" t="s">
        <v>981</v>
      </c>
      <c r="F51" s="9" t="s">
        <v>1152</v>
      </c>
    </row>
    <row r="52" customFormat="false" ht="68.25" hidden="false" customHeight="true" outlineLevel="0" collapsed="false">
      <c r="A52" s="9" t="n">
        <v>48</v>
      </c>
      <c r="B52" s="9" t="s">
        <v>1153</v>
      </c>
      <c r="C52" s="9" t="s">
        <v>1057</v>
      </c>
      <c r="D52" s="9" t="s">
        <v>1129</v>
      </c>
      <c r="E52" s="45" t="s">
        <v>981</v>
      </c>
      <c r="F52" s="9" t="s">
        <v>1154</v>
      </c>
    </row>
    <row r="53" customFormat="false" ht="68.25" hidden="false" customHeight="true" outlineLevel="0" collapsed="false">
      <c r="A53" s="9" t="n">
        <v>49</v>
      </c>
      <c r="B53" s="9" t="s">
        <v>1155</v>
      </c>
      <c r="C53" s="9" t="s">
        <v>1156</v>
      </c>
      <c r="D53" s="9" t="s">
        <v>1157</v>
      </c>
      <c r="E53" s="45" t="s">
        <v>981</v>
      </c>
      <c r="F53" s="9" t="s">
        <v>1158</v>
      </c>
    </row>
    <row r="54" customFormat="false" ht="124.5" hidden="false" customHeight="true" outlineLevel="0" collapsed="false">
      <c r="A54" s="9" t="n">
        <v>50</v>
      </c>
      <c r="B54" s="9" t="s">
        <v>1159</v>
      </c>
      <c r="C54" s="9" t="s">
        <v>1160</v>
      </c>
      <c r="D54" s="9" t="s">
        <v>1161</v>
      </c>
      <c r="E54" s="128" t="s">
        <v>972</v>
      </c>
      <c r="F54" s="9" t="s">
        <v>1162</v>
      </c>
    </row>
    <row r="55" customFormat="false" ht="90.75" hidden="false" customHeight="true" outlineLevel="0" collapsed="false">
      <c r="A55" s="9" t="n">
        <v>51</v>
      </c>
      <c r="B55" s="9" t="s">
        <v>1163</v>
      </c>
      <c r="C55" s="9" t="s">
        <v>1057</v>
      </c>
      <c r="D55" s="9" t="s">
        <v>1164</v>
      </c>
      <c r="E55" s="45" t="s">
        <v>981</v>
      </c>
      <c r="F55" s="9" t="s">
        <v>1165</v>
      </c>
    </row>
    <row r="56" customFormat="false" ht="57" hidden="false" customHeight="true" outlineLevel="0" collapsed="false">
      <c r="A56" s="9" t="n">
        <v>52</v>
      </c>
      <c r="B56" s="9" t="s">
        <v>1166</v>
      </c>
      <c r="C56" s="9" t="s">
        <v>1167</v>
      </c>
      <c r="D56" s="9" t="s">
        <v>1168</v>
      </c>
      <c r="E56" s="45" t="s">
        <v>981</v>
      </c>
      <c r="F56" s="9" t="s">
        <v>1169</v>
      </c>
    </row>
    <row r="57" customFormat="false" ht="90.75" hidden="false" customHeight="true" outlineLevel="0" collapsed="false">
      <c r="A57" s="9" t="n">
        <v>53</v>
      </c>
      <c r="B57" s="9" t="s">
        <v>1170</v>
      </c>
      <c r="C57" s="9" t="s">
        <v>1171</v>
      </c>
      <c r="D57" s="9" t="s">
        <v>1172</v>
      </c>
      <c r="E57" s="128" t="s">
        <v>972</v>
      </c>
      <c r="F57" s="9" t="s">
        <v>1173</v>
      </c>
    </row>
    <row r="58" customFormat="false" ht="113.25" hidden="false" customHeight="true" outlineLevel="0" collapsed="false">
      <c r="A58" s="9" t="n">
        <v>54</v>
      </c>
      <c r="B58" s="9" t="s">
        <v>1174</v>
      </c>
      <c r="C58" s="9" t="s">
        <v>1175</v>
      </c>
      <c r="D58" s="9" t="s">
        <v>1176</v>
      </c>
      <c r="E58" s="45" t="s">
        <v>981</v>
      </c>
      <c r="F58" s="9" t="s">
        <v>1177</v>
      </c>
    </row>
    <row r="59" customFormat="false" ht="68.25" hidden="false" customHeight="true" outlineLevel="0" collapsed="false">
      <c r="A59" s="9" t="n">
        <v>55</v>
      </c>
      <c r="B59" s="9" t="s">
        <v>1178</v>
      </c>
      <c r="C59" s="9" t="s">
        <v>1179</v>
      </c>
      <c r="D59" s="9" t="s">
        <v>1172</v>
      </c>
      <c r="E59" s="45" t="s">
        <v>981</v>
      </c>
      <c r="F59" s="9" t="s">
        <v>1180</v>
      </c>
    </row>
    <row r="60" customFormat="false" ht="68.25" hidden="false" customHeight="true" outlineLevel="0" collapsed="false">
      <c r="A60" s="9" t="n">
        <v>56</v>
      </c>
      <c r="B60" s="9" t="s">
        <v>1181</v>
      </c>
      <c r="C60" s="9" t="s">
        <v>1182</v>
      </c>
      <c r="D60" s="9" t="s">
        <v>1183</v>
      </c>
      <c r="E60" s="45" t="s">
        <v>990</v>
      </c>
      <c r="F60" s="9" t="s">
        <v>1184</v>
      </c>
    </row>
    <row r="61" customFormat="false" ht="45.75" hidden="false" customHeight="true" outlineLevel="0" collapsed="false">
      <c r="A61" s="9" t="n">
        <v>57</v>
      </c>
      <c r="B61" s="9" t="s">
        <v>1185</v>
      </c>
      <c r="C61" s="9" t="s">
        <v>1186</v>
      </c>
      <c r="D61" s="9" t="s">
        <v>1187</v>
      </c>
      <c r="E61" s="45" t="s">
        <v>990</v>
      </c>
      <c r="F61" s="9" t="s">
        <v>1188</v>
      </c>
    </row>
    <row r="62" customFormat="false" ht="102" hidden="false" customHeight="true" outlineLevel="0" collapsed="false">
      <c r="A62" s="9" t="n">
        <v>58</v>
      </c>
      <c r="B62" s="9" t="s">
        <v>1189</v>
      </c>
      <c r="C62" s="9" t="s">
        <v>1190</v>
      </c>
      <c r="D62" s="9" t="s">
        <v>1191</v>
      </c>
      <c r="E62" s="45" t="s">
        <v>981</v>
      </c>
      <c r="F62" s="9" t="s">
        <v>1192</v>
      </c>
    </row>
    <row r="63" customFormat="false" ht="102" hidden="false" customHeight="true" outlineLevel="0" collapsed="false">
      <c r="A63" s="9" t="n">
        <v>59</v>
      </c>
      <c r="B63" s="9" t="s">
        <v>1193</v>
      </c>
      <c r="C63" s="9" t="s">
        <v>1194</v>
      </c>
      <c r="D63" s="9" t="s">
        <v>1195</v>
      </c>
      <c r="E63" s="45" t="s">
        <v>981</v>
      </c>
      <c r="F63" s="9" t="s">
        <v>1196</v>
      </c>
    </row>
    <row r="64" customFormat="false" ht="79.5" hidden="false" customHeight="true" outlineLevel="0" collapsed="false">
      <c r="A64" s="9" t="n">
        <v>60</v>
      </c>
      <c r="B64" s="9" t="s">
        <v>1197</v>
      </c>
      <c r="C64" s="9" t="s">
        <v>1057</v>
      </c>
      <c r="D64" s="9" t="s">
        <v>1129</v>
      </c>
      <c r="E64" s="45" t="s">
        <v>990</v>
      </c>
      <c r="F64" s="9" t="s">
        <v>1198</v>
      </c>
    </row>
    <row r="65" customFormat="false" ht="68.25" hidden="false" customHeight="true" outlineLevel="0" collapsed="false">
      <c r="A65" s="9" t="n">
        <v>61</v>
      </c>
      <c r="B65" s="9" t="s">
        <v>1199</v>
      </c>
      <c r="C65" s="9" t="s">
        <v>1200</v>
      </c>
      <c r="D65" s="9" t="s">
        <v>1195</v>
      </c>
      <c r="E65" s="6" t="s">
        <v>1077</v>
      </c>
      <c r="F65" s="9" t="s">
        <v>1201</v>
      </c>
    </row>
    <row r="66" customFormat="false" ht="57" hidden="false" customHeight="true" outlineLevel="0" collapsed="false">
      <c r="A66" s="9" t="n">
        <v>62</v>
      </c>
      <c r="B66" s="9" t="s">
        <v>1202</v>
      </c>
      <c r="C66" s="9" t="s">
        <v>1057</v>
      </c>
      <c r="D66" s="9" t="s">
        <v>1203</v>
      </c>
      <c r="E66" s="45" t="s">
        <v>981</v>
      </c>
      <c r="F66" s="9" t="s">
        <v>1204</v>
      </c>
    </row>
    <row r="67" customFormat="false" ht="90.75" hidden="false" customHeight="true" outlineLevel="0" collapsed="false">
      <c r="A67" s="9" t="n">
        <v>63</v>
      </c>
      <c r="B67" s="9" t="s">
        <v>1205</v>
      </c>
      <c r="C67" s="9" t="s">
        <v>1206</v>
      </c>
      <c r="D67" s="9" t="s">
        <v>1129</v>
      </c>
      <c r="E67" s="45" t="s">
        <v>981</v>
      </c>
      <c r="F67" s="9" t="s">
        <v>1207</v>
      </c>
    </row>
    <row r="68" customFormat="false" ht="68.25" hidden="false" customHeight="true" outlineLevel="0" collapsed="false">
      <c r="A68" s="9" t="n">
        <v>64</v>
      </c>
      <c r="B68" s="9" t="s">
        <v>1208</v>
      </c>
      <c r="C68" s="9" t="s">
        <v>1057</v>
      </c>
      <c r="D68" s="9" t="s">
        <v>1209</v>
      </c>
      <c r="E68" s="45" t="s">
        <v>990</v>
      </c>
      <c r="F68" s="9" t="s">
        <v>1210</v>
      </c>
    </row>
    <row r="69" customFormat="false" ht="45.75" hidden="false" customHeight="true" outlineLevel="0" collapsed="false">
      <c r="A69" s="9" t="n">
        <v>65</v>
      </c>
      <c r="B69" s="9" t="s">
        <v>1211</v>
      </c>
      <c r="C69" s="9" t="s">
        <v>1212</v>
      </c>
      <c r="D69" s="9" t="s">
        <v>1213</v>
      </c>
      <c r="E69" s="45" t="s">
        <v>990</v>
      </c>
      <c r="F69" s="9" t="s">
        <v>1214</v>
      </c>
    </row>
    <row r="70" customFormat="false" ht="79.5" hidden="false" customHeight="true" outlineLevel="0" collapsed="false">
      <c r="A70" s="9" t="n">
        <v>66</v>
      </c>
      <c r="B70" s="42" t="s">
        <v>1215</v>
      </c>
      <c r="C70" s="9" t="s">
        <v>1057</v>
      </c>
      <c r="D70" s="9" t="s">
        <v>1216</v>
      </c>
      <c r="E70" s="128" t="s">
        <v>972</v>
      </c>
      <c r="F70" s="9" t="s">
        <v>1217</v>
      </c>
    </row>
    <row r="71" customFormat="false" ht="68.25" hidden="false" customHeight="true" outlineLevel="0" collapsed="false">
      <c r="A71" s="9" t="n">
        <v>67</v>
      </c>
      <c r="B71" s="9" t="s">
        <v>1218</v>
      </c>
      <c r="C71" s="9" t="s">
        <v>1219</v>
      </c>
      <c r="D71" s="9" t="s">
        <v>1220</v>
      </c>
      <c r="E71" s="45" t="s">
        <v>981</v>
      </c>
      <c r="F71" s="9" t="s">
        <v>1221</v>
      </c>
    </row>
    <row r="72" customFormat="false" ht="23.25" hidden="false" customHeight="true" outlineLevel="0" collapsed="false">
      <c r="A72" s="9" t="n">
        <v>68</v>
      </c>
      <c r="B72" s="9" t="s">
        <v>1222</v>
      </c>
      <c r="C72" s="9" t="s">
        <v>1223</v>
      </c>
      <c r="D72" s="9" t="s">
        <v>1224</v>
      </c>
      <c r="E72" s="45" t="s">
        <v>981</v>
      </c>
      <c r="F72" s="9" t="s">
        <v>1225</v>
      </c>
    </row>
    <row r="73" customFormat="false" ht="23.25" hidden="false" customHeight="true" outlineLevel="0" collapsed="false">
      <c r="A73" s="9" t="n">
        <v>69</v>
      </c>
      <c r="B73" s="9" t="s">
        <v>1226</v>
      </c>
      <c r="C73" s="9" t="s">
        <v>1179</v>
      </c>
      <c r="D73" s="9" t="s">
        <v>1227</v>
      </c>
      <c r="E73" s="45" t="s">
        <v>981</v>
      </c>
      <c r="F73" s="9" t="s">
        <v>1228</v>
      </c>
    </row>
    <row r="74" customFormat="false" ht="23.25" hidden="false" customHeight="true" outlineLevel="0" collapsed="false">
      <c r="A74" s="9" t="n">
        <v>70</v>
      </c>
      <c r="B74" s="9" t="s">
        <v>1229</v>
      </c>
      <c r="C74" s="9" t="s">
        <v>1057</v>
      </c>
      <c r="D74" s="9" t="s">
        <v>1129</v>
      </c>
      <c r="E74" s="45" t="s">
        <v>990</v>
      </c>
      <c r="F74" s="9" t="s">
        <v>1230</v>
      </c>
    </row>
    <row r="75" customFormat="false" ht="23.25" hidden="false" customHeight="true" outlineLevel="0" collapsed="false">
      <c r="A75" s="9" t="n">
        <v>71</v>
      </c>
      <c r="B75" s="9" t="s">
        <v>1231</v>
      </c>
      <c r="C75" s="9" t="s">
        <v>1232</v>
      </c>
      <c r="D75" s="9" t="s">
        <v>1233</v>
      </c>
      <c r="E75" s="45" t="s">
        <v>990</v>
      </c>
      <c r="F75" s="9" t="s">
        <v>1234</v>
      </c>
    </row>
    <row r="76" customFormat="false" ht="57" hidden="false" customHeight="true" outlineLevel="0" collapsed="false">
      <c r="A76" s="9" t="n">
        <v>72</v>
      </c>
      <c r="B76" s="9" t="s">
        <v>1235</v>
      </c>
      <c r="C76" s="9" t="s">
        <v>1236</v>
      </c>
      <c r="D76" s="9" t="s">
        <v>1237</v>
      </c>
      <c r="E76" s="45" t="s">
        <v>981</v>
      </c>
      <c r="F76" s="9" t="s">
        <v>1238</v>
      </c>
    </row>
    <row r="77" customFormat="false" ht="90.75" hidden="false" customHeight="true" outlineLevel="0" collapsed="false">
      <c r="A77" s="9" t="n">
        <v>73</v>
      </c>
      <c r="B77" s="42" t="s">
        <v>1239</v>
      </c>
      <c r="C77" s="9" t="s">
        <v>1240</v>
      </c>
      <c r="D77" s="9" t="s">
        <v>1241</v>
      </c>
      <c r="E77" s="128" t="s">
        <v>972</v>
      </c>
      <c r="F77" s="9" t="s">
        <v>1242</v>
      </c>
    </row>
    <row r="78" customFormat="false" ht="57" hidden="false" customHeight="true" outlineLevel="0" collapsed="false">
      <c r="A78" s="9" t="n">
        <v>74</v>
      </c>
      <c r="B78" s="9" t="s">
        <v>1243</v>
      </c>
      <c r="C78" s="9" t="s">
        <v>1244</v>
      </c>
      <c r="D78" s="9" t="s">
        <v>1245</v>
      </c>
      <c r="E78" s="45" t="s">
        <v>981</v>
      </c>
      <c r="F78" s="9" t="s">
        <v>1246</v>
      </c>
    </row>
    <row r="79" customFormat="false" ht="23.25" hidden="false" customHeight="true" outlineLevel="0" collapsed="false">
      <c r="A79" s="9" t="n">
        <v>75</v>
      </c>
      <c r="B79" s="9" t="s">
        <v>1247</v>
      </c>
      <c r="C79" s="9" t="s">
        <v>1248</v>
      </c>
      <c r="D79" s="9" t="s">
        <v>1249</v>
      </c>
      <c r="E79" s="45" t="s">
        <v>981</v>
      </c>
      <c r="F79" s="9" t="s">
        <v>1250</v>
      </c>
    </row>
    <row r="80" customFormat="false" ht="34.5" hidden="false" customHeight="true" outlineLevel="0" collapsed="false">
      <c r="A80" s="9" t="n">
        <v>76</v>
      </c>
      <c r="B80" s="9" t="s">
        <v>1251</v>
      </c>
      <c r="C80" s="9" t="s">
        <v>1252</v>
      </c>
      <c r="D80" s="9" t="s">
        <v>1253</v>
      </c>
      <c r="E80" s="45" t="s">
        <v>981</v>
      </c>
      <c r="F80" s="9" t="s">
        <v>1254</v>
      </c>
    </row>
    <row r="81" customFormat="false" ht="23.25" hidden="false" customHeight="true" outlineLevel="0" collapsed="false">
      <c r="A81" s="9" t="n">
        <v>77</v>
      </c>
      <c r="B81" s="9" t="s">
        <v>1255</v>
      </c>
      <c r="C81" s="9" t="s">
        <v>1256</v>
      </c>
      <c r="D81" s="9" t="s">
        <v>1257</v>
      </c>
      <c r="E81" s="45" t="s">
        <v>981</v>
      </c>
      <c r="F81" s="9" t="s">
        <v>1258</v>
      </c>
    </row>
    <row r="82" customFormat="false" ht="34.5" hidden="false" customHeight="true" outlineLevel="0" collapsed="false">
      <c r="A82" s="9" t="n">
        <v>78</v>
      </c>
      <c r="B82" s="9" t="s">
        <v>1259</v>
      </c>
      <c r="C82" s="9" t="s">
        <v>1260</v>
      </c>
      <c r="D82" s="9" t="s">
        <v>1261</v>
      </c>
      <c r="E82" s="45" t="s">
        <v>990</v>
      </c>
      <c r="F82" s="9" t="s">
        <v>1262</v>
      </c>
    </row>
    <row r="83" customFormat="false" ht="57" hidden="false" customHeight="true" outlineLevel="0" collapsed="false">
      <c r="A83" s="9" t="n">
        <v>79</v>
      </c>
      <c r="B83" s="42" t="s">
        <v>1263</v>
      </c>
      <c r="C83" s="9" t="s">
        <v>1264</v>
      </c>
      <c r="D83" s="9" t="s">
        <v>1265</v>
      </c>
      <c r="E83" s="128" t="s">
        <v>972</v>
      </c>
      <c r="F83" s="9" t="s">
        <v>1266</v>
      </c>
    </row>
    <row r="84" customFormat="false" ht="57" hidden="false" customHeight="true" outlineLevel="0" collapsed="false">
      <c r="A84" s="9" t="n">
        <v>80</v>
      </c>
      <c r="B84" s="42" t="s">
        <v>1267</v>
      </c>
      <c r="C84" s="9" t="s">
        <v>1268</v>
      </c>
      <c r="D84" s="9" t="s">
        <v>1269</v>
      </c>
      <c r="E84" s="128" t="s">
        <v>972</v>
      </c>
      <c r="F84" s="9" t="s">
        <v>1270</v>
      </c>
    </row>
    <row r="85" customFormat="false" ht="34.5" hidden="false" customHeight="true" outlineLevel="0" collapsed="false">
      <c r="A85" s="9" t="n">
        <v>81</v>
      </c>
      <c r="B85" s="9" t="s">
        <v>1271</v>
      </c>
      <c r="C85" s="9" t="s">
        <v>1057</v>
      </c>
      <c r="D85" s="9" t="s">
        <v>1272</v>
      </c>
      <c r="E85" s="45" t="s">
        <v>981</v>
      </c>
      <c r="F85" s="9" t="s">
        <v>1273</v>
      </c>
    </row>
    <row r="86" customFormat="false" ht="57" hidden="false" customHeight="true" outlineLevel="0" collapsed="false">
      <c r="A86" s="9" t="n">
        <v>82</v>
      </c>
      <c r="B86" s="9" t="s">
        <v>1274</v>
      </c>
      <c r="C86" s="9" t="s">
        <v>1275</v>
      </c>
      <c r="D86" s="9" t="s">
        <v>1276</v>
      </c>
      <c r="E86" s="45" t="s">
        <v>981</v>
      </c>
      <c r="F86" s="9" t="s">
        <v>1277</v>
      </c>
    </row>
    <row r="87" customFormat="false" ht="57" hidden="false" customHeight="true" outlineLevel="0" collapsed="false">
      <c r="A87" s="9" t="n">
        <v>83</v>
      </c>
      <c r="B87" s="9" t="s">
        <v>1278</v>
      </c>
      <c r="C87" s="9" t="s">
        <v>1279</v>
      </c>
      <c r="D87" s="9" t="s">
        <v>1280</v>
      </c>
      <c r="E87" s="45" t="s">
        <v>981</v>
      </c>
      <c r="F87" s="9" t="s">
        <v>1281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5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5"/>
    <col collapsed="false" customWidth="true" hidden="false" outlineLevel="0" max="2" min="2" style="1" width="54"/>
    <col collapsed="false" customWidth="true" hidden="false" outlineLevel="0" max="3" min="3" style="1" width="44"/>
    <col collapsed="false" customWidth="true" hidden="false" outlineLevel="0" max="4" min="4" style="1" width="80"/>
  </cols>
  <sheetData>
    <row r="1" customFormat="false" ht="15.75" hidden="false" customHeight="true" outlineLevel="0" collapsed="false">
      <c r="A1" s="2" t="s">
        <v>1282</v>
      </c>
    </row>
    <row r="3" customFormat="false" ht="15" hidden="false" customHeight="true" outlineLevel="0" collapsed="false">
      <c r="A3" s="125" t="s">
        <v>934</v>
      </c>
      <c r="B3" s="125" t="s">
        <v>1283</v>
      </c>
      <c r="C3" s="125" t="s">
        <v>1284</v>
      </c>
      <c r="D3" s="125" t="s">
        <v>1285</v>
      </c>
    </row>
    <row r="4" customFormat="false" ht="23.25" hidden="false" customHeight="true" outlineLevel="0" collapsed="false">
      <c r="A4" s="9" t="n">
        <v>1</v>
      </c>
      <c r="B4" s="9" t="s">
        <v>1286</v>
      </c>
      <c r="C4" s="9" t="s">
        <v>1287</v>
      </c>
      <c r="D4" s="129" t="s">
        <v>1288</v>
      </c>
    </row>
    <row r="5" customFormat="false" ht="15" hidden="false" customHeight="true" outlineLevel="0" collapsed="false">
      <c r="A5" s="9" t="n">
        <v>2</v>
      </c>
      <c r="B5" s="9" t="s">
        <v>1289</v>
      </c>
      <c r="C5" s="9" t="s">
        <v>1290</v>
      </c>
      <c r="D5" s="129" t="s">
        <v>1291</v>
      </c>
    </row>
    <row r="6" customFormat="false" ht="15" hidden="false" customHeight="true" outlineLevel="0" collapsed="false">
      <c r="A6" s="9" t="n">
        <v>3</v>
      </c>
      <c r="B6" s="9" t="s">
        <v>1292</v>
      </c>
      <c r="C6" s="9" t="s">
        <v>1293</v>
      </c>
      <c r="D6" s="129" t="s">
        <v>1294</v>
      </c>
    </row>
    <row r="7" customFormat="false" ht="23.25" hidden="false" customHeight="true" outlineLevel="0" collapsed="false">
      <c r="A7" s="9" t="n">
        <v>4</v>
      </c>
      <c r="B7" s="9" t="s">
        <v>1295</v>
      </c>
      <c r="C7" s="9" t="s">
        <v>1296</v>
      </c>
      <c r="D7" s="129" t="s">
        <v>1297</v>
      </c>
    </row>
    <row r="8" customFormat="false" ht="23.25" hidden="false" customHeight="true" outlineLevel="0" collapsed="false">
      <c r="A8" s="9" t="n">
        <v>5</v>
      </c>
      <c r="B8" s="9" t="s">
        <v>1298</v>
      </c>
      <c r="C8" s="9" t="s">
        <v>1299</v>
      </c>
      <c r="D8" s="129" t="s">
        <v>1300</v>
      </c>
    </row>
    <row r="9" customFormat="false" ht="23.25" hidden="false" customHeight="true" outlineLevel="0" collapsed="false">
      <c r="A9" s="9" t="n">
        <v>6</v>
      </c>
      <c r="B9" s="9" t="s">
        <v>1301</v>
      </c>
      <c r="C9" s="9" t="s">
        <v>1302</v>
      </c>
      <c r="D9" s="129" t="s">
        <v>1303</v>
      </c>
    </row>
    <row r="10" customFormat="false" ht="15" hidden="false" customHeight="true" outlineLevel="0" collapsed="false">
      <c r="A10" s="9" t="n">
        <v>7</v>
      </c>
      <c r="B10" s="9" t="s">
        <v>1304</v>
      </c>
      <c r="C10" s="9" t="s">
        <v>1305</v>
      </c>
      <c r="D10" s="129" t="s">
        <v>1306</v>
      </c>
    </row>
    <row r="11" customFormat="false" ht="23.25" hidden="false" customHeight="true" outlineLevel="0" collapsed="false">
      <c r="A11" s="9" t="n">
        <v>8</v>
      </c>
      <c r="B11" s="9" t="s">
        <v>1307</v>
      </c>
      <c r="C11" s="9" t="s">
        <v>1308</v>
      </c>
      <c r="D11" s="129" t="s">
        <v>1309</v>
      </c>
    </row>
    <row r="12" customFormat="false" ht="23.25" hidden="false" customHeight="true" outlineLevel="0" collapsed="false">
      <c r="A12" s="9" t="n">
        <v>9</v>
      </c>
      <c r="B12" s="9" t="s">
        <v>1310</v>
      </c>
      <c r="C12" s="9" t="s">
        <v>1311</v>
      </c>
      <c r="D12" s="129" t="s">
        <v>1312</v>
      </c>
    </row>
    <row r="13" customFormat="false" ht="23.25" hidden="false" customHeight="true" outlineLevel="0" collapsed="false">
      <c r="A13" s="9" t="n">
        <v>10</v>
      </c>
      <c r="B13" s="9" t="s">
        <v>1313</v>
      </c>
      <c r="C13" s="9" t="s">
        <v>1314</v>
      </c>
      <c r="D13" s="129" t="s">
        <v>1315</v>
      </c>
    </row>
    <row r="14" customFormat="false" ht="23.25" hidden="false" customHeight="true" outlineLevel="0" collapsed="false">
      <c r="A14" s="9" t="n">
        <v>11</v>
      </c>
      <c r="B14" s="9" t="s">
        <v>1316</v>
      </c>
      <c r="C14" s="9" t="s">
        <v>1317</v>
      </c>
      <c r="D14" s="129" t="s">
        <v>1318</v>
      </c>
    </row>
    <row r="15" customFormat="false" ht="23.25" hidden="false" customHeight="true" outlineLevel="0" collapsed="false">
      <c r="A15" s="9" t="n">
        <v>12</v>
      </c>
      <c r="B15" s="9" t="s">
        <v>1319</v>
      </c>
      <c r="C15" s="9" t="s">
        <v>1320</v>
      </c>
      <c r="D15" s="129" t="s">
        <v>1321</v>
      </c>
    </row>
    <row r="16" customFormat="false" ht="15" hidden="false" customHeight="true" outlineLevel="0" collapsed="false">
      <c r="A16" s="9" t="n">
        <v>13</v>
      </c>
      <c r="B16" s="9" t="s">
        <v>1322</v>
      </c>
      <c r="C16" s="9" t="s">
        <v>1323</v>
      </c>
      <c r="D16" s="129" t="s">
        <v>1324</v>
      </c>
    </row>
    <row r="17" customFormat="false" ht="23.25" hidden="false" customHeight="true" outlineLevel="0" collapsed="false">
      <c r="A17" s="9" t="n">
        <v>14</v>
      </c>
      <c r="B17" s="9" t="s">
        <v>1325</v>
      </c>
      <c r="C17" s="9" t="s">
        <v>1326</v>
      </c>
      <c r="D17" s="129" t="s">
        <v>1327</v>
      </c>
    </row>
    <row r="18" customFormat="false" ht="15" hidden="false" customHeight="true" outlineLevel="0" collapsed="false">
      <c r="A18" s="9" t="n">
        <v>15</v>
      </c>
      <c r="B18" s="9" t="s">
        <v>1328</v>
      </c>
      <c r="C18" s="9" t="s">
        <v>1329</v>
      </c>
      <c r="D18" s="129" t="s">
        <v>1330</v>
      </c>
    </row>
    <row r="19" customFormat="false" ht="15" hidden="false" customHeight="true" outlineLevel="0" collapsed="false">
      <c r="A19" s="9" t="n">
        <v>16</v>
      </c>
      <c r="B19" s="9" t="s">
        <v>1331</v>
      </c>
      <c r="C19" s="9" t="s">
        <v>1332</v>
      </c>
      <c r="D19" s="129" t="s">
        <v>1333</v>
      </c>
    </row>
    <row r="20" customFormat="false" ht="23.25" hidden="false" customHeight="true" outlineLevel="0" collapsed="false">
      <c r="A20" s="9" t="n">
        <v>17</v>
      </c>
      <c r="B20" s="9" t="s">
        <v>1334</v>
      </c>
      <c r="C20" s="9" t="s">
        <v>1335</v>
      </c>
      <c r="D20" s="129" t="s">
        <v>1336</v>
      </c>
    </row>
    <row r="21" customFormat="false" ht="23.25" hidden="false" customHeight="true" outlineLevel="0" collapsed="false">
      <c r="A21" s="9" t="n">
        <v>18</v>
      </c>
      <c r="B21" s="9" t="s">
        <v>1337</v>
      </c>
      <c r="C21" s="9" t="s">
        <v>1338</v>
      </c>
      <c r="D21" s="129" t="s">
        <v>1339</v>
      </c>
    </row>
    <row r="22" customFormat="false" ht="34.5" hidden="false" customHeight="true" outlineLevel="0" collapsed="false">
      <c r="A22" s="9" t="n">
        <v>19</v>
      </c>
      <c r="B22" s="9" t="s">
        <v>1340</v>
      </c>
      <c r="C22" s="9" t="s">
        <v>1341</v>
      </c>
      <c r="D22" s="129" t="s">
        <v>1342</v>
      </c>
    </row>
    <row r="23" customFormat="false" ht="15" hidden="false" customHeight="true" outlineLevel="0" collapsed="false">
      <c r="A23" s="9" t="n">
        <v>20</v>
      </c>
      <c r="B23" s="9" t="s">
        <v>1343</v>
      </c>
      <c r="C23" s="9" t="s">
        <v>1344</v>
      </c>
      <c r="D23" s="129" t="s">
        <v>1345</v>
      </c>
    </row>
    <row r="24" customFormat="false" ht="34.5" hidden="false" customHeight="true" outlineLevel="0" collapsed="false">
      <c r="A24" s="9" t="n">
        <v>21</v>
      </c>
      <c r="B24" s="9" t="s">
        <v>1346</v>
      </c>
      <c r="C24" s="9" t="s">
        <v>1347</v>
      </c>
      <c r="D24" s="129" t="s">
        <v>1348</v>
      </c>
    </row>
    <row r="25" customFormat="false" ht="23.25" hidden="false" customHeight="true" outlineLevel="0" collapsed="false">
      <c r="A25" s="9" t="n">
        <v>22</v>
      </c>
      <c r="B25" s="9" t="s">
        <v>1349</v>
      </c>
      <c r="C25" s="9" t="s">
        <v>1350</v>
      </c>
      <c r="D25" s="129" t="s">
        <v>1351</v>
      </c>
    </row>
    <row r="26" customFormat="false" ht="15" hidden="false" customHeight="true" outlineLevel="0" collapsed="false">
      <c r="A26" s="9" t="n">
        <v>23</v>
      </c>
      <c r="B26" s="9" t="s">
        <v>1352</v>
      </c>
      <c r="C26" s="9" t="s">
        <v>1353</v>
      </c>
      <c r="D26" s="129" t="s">
        <v>1354</v>
      </c>
    </row>
    <row r="27" customFormat="false" ht="23.25" hidden="false" customHeight="true" outlineLevel="0" collapsed="false">
      <c r="A27" s="9" t="n">
        <v>24</v>
      </c>
      <c r="B27" s="9" t="s">
        <v>1355</v>
      </c>
      <c r="C27" s="9" t="s">
        <v>1356</v>
      </c>
      <c r="D27" s="129" t="s">
        <v>1357</v>
      </c>
    </row>
    <row r="28" customFormat="false" ht="15" hidden="false" customHeight="true" outlineLevel="0" collapsed="false">
      <c r="A28" s="9" t="n">
        <v>25</v>
      </c>
      <c r="B28" s="9" t="s">
        <v>1358</v>
      </c>
      <c r="C28" s="9" t="s">
        <v>1359</v>
      </c>
      <c r="D28" s="129" t="s">
        <v>1360</v>
      </c>
    </row>
    <row r="29" customFormat="false" ht="15" hidden="false" customHeight="true" outlineLevel="0" collapsed="false">
      <c r="A29" s="9" t="n">
        <v>26</v>
      </c>
      <c r="B29" s="9" t="s">
        <v>1361</v>
      </c>
      <c r="C29" s="9" t="s">
        <v>1362</v>
      </c>
      <c r="D29" s="129" t="s">
        <v>1363</v>
      </c>
    </row>
    <row r="30" customFormat="false" ht="23.25" hidden="false" customHeight="true" outlineLevel="0" collapsed="false">
      <c r="A30" s="9" t="n">
        <v>27</v>
      </c>
      <c r="B30" s="9" t="s">
        <v>1364</v>
      </c>
      <c r="C30" s="9" t="s">
        <v>1365</v>
      </c>
      <c r="D30" s="129" t="s">
        <v>1366</v>
      </c>
    </row>
    <row r="31" customFormat="false" ht="15" hidden="false" customHeight="true" outlineLevel="0" collapsed="false">
      <c r="A31" s="9" t="n">
        <v>28</v>
      </c>
      <c r="B31" s="9" t="s">
        <v>1367</v>
      </c>
      <c r="C31" s="9" t="s">
        <v>1368</v>
      </c>
      <c r="D31" s="129" t="s">
        <v>1369</v>
      </c>
    </row>
    <row r="32" customFormat="false" ht="15" hidden="false" customHeight="true" outlineLevel="0" collapsed="false">
      <c r="A32" s="9" t="n">
        <v>29</v>
      </c>
      <c r="B32" s="9" t="s">
        <v>1370</v>
      </c>
      <c r="C32" s="9" t="s">
        <v>1371</v>
      </c>
      <c r="D32" s="129" t="s">
        <v>1372</v>
      </c>
    </row>
    <row r="33" customFormat="false" ht="15" hidden="false" customHeight="true" outlineLevel="0" collapsed="false">
      <c r="A33" s="9" t="n">
        <v>30</v>
      </c>
      <c r="B33" s="9" t="s">
        <v>1373</v>
      </c>
      <c r="C33" s="9" t="s">
        <v>1374</v>
      </c>
      <c r="D33" s="129" t="s">
        <v>1375</v>
      </c>
    </row>
    <row r="34" customFormat="false" ht="15" hidden="false" customHeight="true" outlineLevel="0" collapsed="false">
      <c r="A34" s="9" t="n">
        <v>31</v>
      </c>
      <c r="B34" s="9" t="s">
        <v>1376</v>
      </c>
      <c r="C34" s="9" t="s">
        <v>1377</v>
      </c>
      <c r="D34" s="129" t="s">
        <v>1378</v>
      </c>
    </row>
    <row r="35" customFormat="false" ht="15" hidden="false" customHeight="true" outlineLevel="0" collapsed="false">
      <c r="A35" s="9" t="n">
        <v>32</v>
      </c>
      <c r="B35" s="9" t="s">
        <v>1379</v>
      </c>
      <c r="C35" s="9" t="s">
        <v>1380</v>
      </c>
      <c r="D35" s="129" t="s">
        <v>1381</v>
      </c>
    </row>
    <row r="36" customFormat="false" ht="15" hidden="false" customHeight="true" outlineLevel="0" collapsed="false">
      <c r="A36" s="9" t="n">
        <v>33</v>
      </c>
      <c r="B36" s="9" t="s">
        <v>1382</v>
      </c>
      <c r="C36" s="9" t="s">
        <v>1383</v>
      </c>
      <c r="D36" s="129" t="s">
        <v>1384</v>
      </c>
    </row>
    <row r="37" customFormat="false" ht="23.25" hidden="false" customHeight="true" outlineLevel="0" collapsed="false">
      <c r="A37" s="9" t="n">
        <v>34</v>
      </c>
      <c r="B37" s="9" t="s">
        <v>1385</v>
      </c>
      <c r="C37" s="9" t="s">
        <v>1386</v>
      </c>
      <c r="D37" s="129" t="s">
        <v>1387</v>
      </c>
    </row>
    <row r="38" customFormat="false" ht="23.25" hidden="false" customHeight="true" outlineLevel="0" collapsed="false">
      <c r="A38" s="9" t="n">
        <v>35</v>
      </c>
      <c r="B38" s="9" t="s">
        <v>1388</v>
      </c>
      <c r="C38" s="9" t="s">
        <v>1389</v>
      </c>
      <c r="D38" s="129" t="s">
        <v>1390</v>
      </c>
    </row>
    <row r="39" customFormat="false" ht="15" hidden="false" customHeight="true" outlineLevel="0" collapsed="false">
      <c r="B39" s="3" t="s">
        <v>1391</v>
      </c>
      <c r="C39" s="3" t="s">
        <v>1392</v>
      </c>
    </row>
    <row r="40" customFormat="false" ht="15" hidden="false" customHeight="true" outlineLevel="0" collapsed="false">
      <c r="B40" s="3" t="s">
        <v>1393</v>
      </c>
      <c r="C40" s="3" t="s">
        <v>1394</v>
      </c>
    </row>
    <row r="41" customFormat="false" ht="15" hidden="false" customHeight="true" outlineLevel="0" collapsed="false">
      <c r="A41" s="7" t="s">
        <v>1395</v>
      </c>
      <c r="B41" s="3" t="s">
        <v>1396</v>
      </c>
      <c r="C41" s="3" t="s">
        <v>1397</v>
      </c>
    </row>
    <row r="42" customFormat="false" ht="15" hidden="false" customHeight="true" outlineLevel="0" collapsed="false">
      <c r="B42" s="3" t="s">
        <v>1398</v>
      </c>
      <c r="C42" s="3" t="s">
        <v>1399</v>
      </c>
    </row>
    <row r="43" customFormat="false" ht="15" hidden="false" customHeight="true" outlineLevel="0" collapsed="false">
      <c r="B43" s="3" t="s">
        <v>1400</v>
      </c>
      <c r="C43" s="3" t="s">
        <v>1401</v>
      </c>
    </row>
    <row r="44" customFormat="false" ht="15" hidden="false" customHeight="true" outlineLevel="0" collapsed="false">
      <c r="B44" s="3" t="s">
        <v>1402</v>
      </c>
      <c r="C44" s="3" t="s">
        <v>1403</v>
      </c>
    </row>
    <row r="45" customFormat="false" ht="15" hidden="false" customHeight="true" outlineLevel="0" collapsed="false">
      <c r="B45" s="3" t="s">
        <v>1404</v>
      </c>
      <c r="C45" s="3" t="s">
        <v>1405</v>
      </c>
    </row>
    <row r="46" customFormat="false" ht="15" hidden="false" customHeight="true" outlineLevel="0" collapsed="false">
      <c r="B46" s="3" t="s">
        <v>1406</v>
      </c>
      <c r="C46" s="3" t="s">
        <v>1407</v>
      </c>
    </row>
    <row r="47" customFormat="false" ht="15" hidden="false" customHeight="true" outlineLevel="0" collapsed="false">
      <c r="B47" s="3" t="s">
        <v>1408</v>
      </c>
      <c r="C47" s="3" t="s">
        <v>1409</v>
      </c>
    </row>
    <row r="48" customFormat="false" ht="15" hidden="false" customHeight="true" outlineLevel="0" collapsed="false">
      <c r="B48" s="3" t="s">
        <v>1410</v>
      </c>
      <c r="C48" s="3" t="s">
        <v>1411</v>
      </c>
    </row>
    <row r="49" customFormat="false" ht="15" hidden="false" customHeight="true" outlineLevel="0" collapsed="false">
      <c r="B49" s="3" t="s">
        <v>1412</v>
      </c>
      <c r="C49" s="3" t="s">
        <v>1413</v>
      </c>
    </row>
    <row r="50" customFormat="false" ht="15" hidden="false" customHeight="true" outlineLevel="0" collapsed="false">
      <c r="A50" s="6" t="s">
        <v>1414</v>
      </c>
    </row>
    <row r="51" customFormat="false" ht="15" hidden="false" customHeight="true" outlineLevel="0" collapsed="false">
      <c r="A51" s="3" t="n">
        <v>36</v>
      </c>
      <c r="B51" s="3" t="s">
        <v>1415</v>
      </c>
      <c r="C51" s="3" t="s">
        <v>1416</v>
      </c>
      <c r="D51" s="3" t="s">
        <v>1417</v>
      </c>
    </row>
    <row r="52" customFormat="false" ht="15" hidden="false" customHeight="true" outlineLevel="0" collapsed="false">
      <c r="A52" s="3" t="n">
        <v>37</v>
      </c>
      <c r="B52" s="3" t="s">
        <v>1418</v>
      </c>
      <c r="C52" s="3" t="s">
        <v>1419</v>
      </c>
      <c r="D52" s="3" t="s">
        <v>1420</v>
      </c>
    </row>
    <row r="53" customFormat="false" ht="15" hidden="false" customHeight="true" outlineLevel="0" collapsed="false">
      <c r="A53" s="3" t="n">
        <v>38</v>
      </c>
      <c r="B53" s="3" t="s">
        <v>1421</v>
      </c>
      <c r="C53" s="3" t="s">
        <v>1422</v>
      </c>
      <c r="D53" s="3" t="s">
        <v>1423</v>
      </c>
    </row>
    <row r="54" customFormat="false" ht="15" hidden="false" customHeight="true" outlineLevel="0" collapsed="false">
      <c r="A54" s="3" t="n">
        <v>39</v>
      </c>
      <c r="B54" s="3" t="s">
        <v>1424</v>
      </c>
      <c r="C54" s="3" t="s">
        <v>1425</v>
      </c>
      <c r="D54" s="3" t="s">
        <v>1426</v>
      </c>
    </row>
    <row r="55" customFormat="false" ht="15" hidden="false" customHeight="true" outlineLevel="0" collapsed="false">
      <c r="A55" s="3" t="n">
        <v>40</v>
      </c>
      <c r="B55" s="3" t="s">
        <v>1427</v>
      </c>
      <c r="C55" s="3" t="s">
        <v>1428</v>
      </c>
      <c r="D55" s="3" t="s">
        <v>1429</v>
      </c>
    </row>
    <row r="56" customFormat="false" ht="15" hidden="false" customHeight="true" outlineLevel="0" collapsed="false">
      <c r="A56" s="3" t="n">
        <v>41</v>
      </c>
      <c r="B56" s="3" t="s">
        <v>1430</v>
      </c>
      <c r="C56" s="3" t="s">
        <v>1431</v>
      </c>
      <c r="D56" s="3" t="s">
        <v>1432</v>
      </c>
    </row>
    <row r="57" customFormat="false" ht="15" hidden="false" customHeight="true" outlineLevel="0" collapsed="false">
      <c r="A57" s="3" t="n">
        <v>42</v>
      </c>
      <c r="B57" s="3" t="s">
        <v>1433</v>
      </c>
      <c r="C57" s="3" t="s">
        <v>1434</v>
      </c>
      <c r="D57" s="3" t="s">
        <v>1435</v>
      </c>
    </row>
    <row r="58" customFormat="false" ht="15" hidden="false" customHeight="true" outlineLevel="0" collapsed="false">
      <c r="A58" s="3" t="n">
        <v>43</v>
      </c>
      <c r="B58" s="3" t="s">
        <v>1436</v>
      </c>
      <c r="C58" s="3" t="s">
        <v>1437</v>
      </c>
      <c r="D58" s="3" t="s">
        <v>1438</v>
      </c>
    </row>
  </sheetData>
  <hyperlinks>
    <hyperlink ref="D4" r:id="rId1" display="https://www.runpod.io/pricing"/>
    <hyperlink ref="D5" r:id="rId2" display="https://ecommerceparadise.com/runpod-pricing/"/>
    <hyperlink ref="D6" r:id="rId3" display="https://checkthat.ai/brands/runpod/pricing"/>
    <hyperlink ref="D7" r:id="rId4" display="https://vast.ai/article/how-much-money-can-you-earn-renting-out-your-gpu-on-vast-ai"/>
    <hyperlink ref="D8" r:id="rId5" display="https://vast.ai/hosting"/>
    <hyperlink ref="D9" r:id="rId6" display="https://gpusmith.com/articles/en/h100-rental-price-history-trends"/>
    <hyperlink ref="D10" r:id="rId7" display="https://www.silicondata.com/blog/h100-rental-price-over-time"/>
    <hyperlink ref="D11" r:id="rId8" display="https://cryptobriefing.com/h100-rental-prices-slide-ornn-ai/"/>
    <hyperlink ref="D12" r:id="rId9" display="https://hashrateindex.com/blog/used-gpu-market-pricing-deprecation-secondary-ai/"/>
    <hyperlink ref="D13" r:id="rId10" display="https://www.spheron.network/blog/nvidia-h100-price-2026/"/>
    <hyperlink ref="D14" r:id="rId11" display="https://arxiv.org/pdf/2407.21783"/>
    <hyperlink ref="D15" r:id="rId12" display="https://www.datacenterdynamics.com/en/news/meta-report-details-hundreds-of-gpu-and-hbm3-related-interruptions-to-llama-3-training-run/"/>
    <hyperlink ref="D16" r:id="rId13" display="https://www.electricchoice.com/electricity-prices-by-state/maine/"/>
    <hyperlink ref="D17" r:id="rId14" display="https://www.einpresswire.com/article/868641743/commission-accepts-bids-for-standard-offer-electricity-supply-for-2026-for-central-maine-power-company-and-versant-power-company-s-maine-public"/>
    <hyperlink ref="D18" r:id="rId15" display="https://www.cmpco.com/account/understandyourbill/pricing"/>
    <hyperlink ref="D19" r:id="rId16" display="https://nuwattenergy.com/en/maine/electricity-rates-2026"/>
    <hyperlink ref="D20" r:id="rId17" display="https://nectarclimate.com/rates/central-maine-power"/>
    <hyperlink ref="D21" r:id="rId18" display="https://mysolarfy.com/maine-net-energy-billing-2026/"/>
    <hyperlink ref="D22" r:id="rId19" display="https://www.efficiencymaine.com/at-work/"/>
    <hyperlink ref="D23" r:id="rId20" display="https://database.aceee.org/state/maine"/>
    <hyperlink ref="D24" r:id="rId21" display="https://www.rd.usda.gov/inflation-reduction-act/rural-energy-america-program-reap"/>
    <hyperlink ref="D25" r:id="rId22" display="https://grantsights.com/blog/usda-reap-grants-guide"/>
    <hyperlink ref="D26" r:id="rId23" display="https://www.rd.usda.gov/programs-services/energy-programs/rural-energy-america-program-renewable-energy-systems-energy-efficiency-improvement-guaranteed-loans"/>
    <hyperlink ref="D27" r:id="rId24" display="https://www.irs.gov/newsroom/treasury-irs-issue-guidance-on-the-additional-first-year-depreciation-deduction-amended-as-part-of-the-one-big-beautiful-bill"/>
    <hyperlink ref="D28" r:id="rId25" display="https://www.irs.gov/newsroom/working-families-tax-cuts"/>
    <hyperlink ref="D29" r:id="rId26" display="https://www.usbank.com/corporate-and-commercial-banking/insights/credit-finance/equipment/maximize-deductions-section-179.html"/>
    <hyperlink ref="D30" r:id="rId27" display="https://tax.thomsonreuters.com/en/glossary/bonus-depreciation"/>
    <hyperlink ref="D31" r:id="rId28" display="https://www.spheron.network/blog/gpu-cloud-providers-europe-2026/"/>
    <hyperlink ref="D32" r:id="rId29" display="https://www.ovhcloud.com/en/public-cloud/gpu/h100/"/>
    <hyperlink ref="D33" r:id="rId30" display="https://computeprices.com/providers/upcloud"/>
    <hyperlink ref="D34" r:id="rId31" display="https://www.runpod.io/articles/guides/top-cloud-gpu-providers"/>
    <hyperlink ref="D35" r:id="rId32" display="https://getdeploying.com/guides/cheapest-gpu-cloud"/>
    <hyperlink ref="D36" r:id="rId33" display="https://www.mainelegislature.org/legis/statutes/5/title5sec1825-b.html"/>
    <hyperlink ref="D37" r:id="rId34" display="https://www.naspo.org/research-and-innovation/state-preference-repository/browse-by-state/maine/"/>
    <hyperlink ref="D38" r:id="rId35" display="https://www.maine.gov/dafs/bbm/procurementservices/vendors"/>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LibreOffice/26.8.0.3$MacOSX_AARCH64 LibreOffice_project/bce0998afefdbc355585ca324285661a2170ba77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2026-07-30T15:55:05Z</dcterms:created>
  <dc:creator>openpyxl</dc:creator>
  <dc:description/>
  <dc:language>en-US</dc:language>
  <cp:lastModifiedBy/>
  <dcterms:modified xsi:type="dcterms:W3CDTF">2026-10-07T12:11:34Z</dcterms:modified>
  <cp:revision>105</cp:revision>
  <dc:subject/>
  <dc:title/>
</cp:coreProperties>
</file>

<file path=docProps/custom.xml><?xml version="1.0" encoding="utf-8"?>
<Properties xmlns="http://schemas.openxmlformats.org/officeDocument/2006/custom-properties" xmlns:vt="http://schemas.openxmlformats.org/officeDocument/2006/docPropsVTypes"/>
</file>